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атсүх\Desktop\"/>
    </mc:Choice>
  </mc:AlternateContent>
  <bookViews>
    <workbookView xWindow="0" yWindow="0" windowWidth="20730" windowHeight="9735"/>
  </bookViews>
  <sheets>
    <sheet name="2017 " sheetId="6" r:id="rId1"/>
    <sheet name="2016" sheetId="3" r:id="rId2"/>
    <sheet name="2015" sheetId="4" r:id="rId3"/>
  </sheets>
  <definedNames>
    <definedName name="_xlnm.Print_Area" localSheetId="1">'2016'!$A$1:$H$44</definedName>
    <definedName name="_xlnm.Print_Area" localSheetId="0">'2017 '!$A$1:$J$45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6" l="1"/>
  <c r="D10" i="6"/>
  <c r="E35" i="6" l="1"/>
  <c r="E21" i="6" l="1"/>
  <c r="E27" i="6" l="1"/>
  <c r="F27" i="6" s="1"/>
  <c r="E26" i="6"/>
  <c r="E23" i="6"/>
  <c r="F9" i="6"/>
  <c r="F28" i="6"/>
  <c r="F20" i="6" l="1"/>
  <c r="C37" i="6"/>
  <c r="E14" i="6" l="1"/>
  <c r="E13" i="6"/>
  <c r="F19" i="6"/>
  <c r="F21" i="6" s="1"/>
  <c r="C10" i="6" l="1"/>
  <c r="D35" i="6"/>
  <c r="D37" i="6" s="1"/>
  <c r="E6" i="6"/>
  <c r="E7" i="6"/>
  <c r="E8" i="6"/>
  <c r="E15" i="6"/>
  <c r="E25" i="6"/>
  <c r="E30" i="6" s="1"/>
  <c r="E34" i="6"/>
  <c r="E37" i="6" s="1"/>
  <c r="C17" i="6"/>
  <c r="C21" i="6"/>
  <c r="C30" i="6"/>
  <c r="E17" i="6"/>
  <c r="F6" i="6"/>
  <c r="F33" i="6"/>
  <c r="F14" i="6"/>
  <c r="F13" i="6"/>
  <c r="E10" i="6" l="1"/>
  <c r="E31" i="6" s="1"/>
  <c r="E38" i="6" s="1"/>
  <c r="C44" i="6" s="1"/>
  <c r="H37" i="6"/>
  <c r="G37" i="6"/>
  <c r="F35" i="6"/>
  <c r="F34" i="6"/>
  <c r="H30" i="6"/>
  <c r="G30" i="6"/>
  <c r="D30" i="6"/>
  <c r="F29" i="6"/>
  <c r="F26" i="6"/>
  <c r="F25" i="6"/>
  <c r="F24" i="6"/>
  <c r="F23" i="6"/>
  <c r="H21" i="6"/>
  <c r="G21" i="6"/>
  <c r="D21" i="6"/>
  <c r="H17" i="6"/>
  <c r="G17" i="6"/>
  <c r="D17" i="6"/>
  <c r="C31" i="6"/>
  <c r="C38" i="6" s="1"/>
  <c r="F16" i="6"/>
  <c r="F12" i="6"/>
  <c r="H10" i="6"/>
  <c r="G10" i="6"/>
  <c r="F8" i="6"/>
  <c r="F7" i="6"/>
  <c r="F10" i="6" s="1"/>
  <c r="C45" i="6" l="1"/>
  <c r="F37" i="6"/>
  <c r="F30" i="6"/>
  <c r="D31" i="6"/>
  <c r="D38" i="6" s="1"/>
  <c r="H31" i="6"/>
  <c r="H38" i="6" s="1"/>
  <c r="G31" i="6"/>
  <c r="G38" i="6" s="1"/>
  <c r="F15" i="6"/>
  <c r="F17" i="6" s="1"/>
  <c r="F31" i="6" l="1"/>
  <c r="F38" i="6" s="1"/>
  <c r="C40" i="3" l="1"/>
  <c r="C43" i="3" s="1"/>
  <c r="C7" i="3"/>
  <c r="D28" i="3"/>
  <c r="C28" i="3"/>
  <c r="D23" i="3"/>
  <c r="C23" i="3"/>
  <c r="D19" i="3"/>
  <c r="C19" i="3"/>
  <c r="D31" i="3"/>
  <c r="C31" i="3"/>
  <c r="D34" i="3"/>
  <c r="E34" i="3"/>
  <c r="C34" i="3"/>
  <c r="C35" i="3" s="1"/>
  <c r="F33" i="3"/>
  <c r="F34" i="3" s="1"/>
  <c r="F10" i="3"/>
  <c r="F11" i="3"/>
  <c r="F12" i="3"/>
  <c r="F5" i="3"/>
  <c r="F6" i="3"/>
  <c r="F4" i="3"/>
  <c r="E7" i="3"/>
  <c r="C15" i="3"/>
  <c r="D35" i="3" l="1"/>
  <c r="F7" i="3"/>
  <c r="C16" i="3"/>
  <c r="E18" i="3" l="1"/>
  <c r="E21" i="3"/>
  <c r="E25" i="3"/>
  <c r="E9" i="3"/>
  <c r="F9" i="3" l="1"/>
  <c r="F21" i="3"/>
  <c r="F25" i="3"/>
  <c r="E19" i="3"/>
  <c r="F18" i="3"/>
  <c r="F19" i="3" s="1"/>
  <c r="E30" i="3"/>
  <c r="E22" i="3"/>
  <c r="F22" i="3" s="1"/>
  <c r="E14" i="3"/>
  <c r="F14" i="3" s="1"/>
  <c r="E13" i="3"/>
  <c r="F13" i="3" s="1"/>
  <c r="E27" i="3"/>
  <c r="F27" i="3" s="1"/>
  <c r="E26" i="3"/>
  <c r="F26" i="3" s="1"/>
  <c r="F23" i="3" l="1"/>
  <c r="E31" i="3"/>
  <c r="F30" i="3"/>
  <c r="F31" i="3" s="1"/>
  <c r="E28" i="3"/>
  <c r="E15" i="3"/>
  <c r="F28" i="3"/>
  <c r="E23" i="3"/>
  <c r="H27" i="4"/>
  <c r="G27" i="4"/>
  <c r="D27" i="4"/>
  <c r="C27" i="4"/>
  <c r="F26" i="4"/>
  <c r="E26" i="4"/>
  <c r="F23" i="4"/>
  <c r="E23" i="4"/>
  <c r="F22" i="4"/>
  <c r="F27" i="4" s="1"/>
  <c r="E22" i="4"/>
  <c r="E27" i="4" s="1"/>
  <c r="G20" i="4"/>
  <c r="E20" i="4"/>
  <c r="D20" i="4"/>
  <c r="C20" i="4"/>
  <c r="H16" i="4"/>
  <c r="H28" i="4" s="1"/>
  <c r="G16" i="4"/>
  <c r="D16" i="4"/>
  <c r="C16" i="4"/>
  <c r="E13" i="4"/>
  <c r="E12" i="4"/>
  <c r="D9" i="4"/>
  <c r="C9" i="4"/>
  <c r="C28" i="4" s="1"/>
  <c r="E8" i="4"/>
  <c r="F8" i="4" s="1"/>
  <c r="E7" i="4"/>
  <c r="D28" i="4" l="1"/>
  <c r="E9" i="4"/>
  <c r="E28" i="4" s="1"/>
  <c r="E16" i="4"/>
  <c r="G28" i="4"/>
  <c r="E35" i="3"/>
  <c r="E16" i="3"/>
  <c r="F16" i="3" s="1"/>
  <c r="F15" i="3"/>
  <c r="F35" i="3" s="1"/>
  <c r="F7" i="4"/>
  <c r="F9" i="4" s="1"/>
  <c r="F28" i="4" s="1"/>
</calcChain>
</file>

<file path=xl/sharedStrings.xml><?xml version="1.0" encoding="utf-8"?>
<sst xmlns="http://schemas.openxmlformats.org/spreadsheetml/2006/main" count="220" uniqueCount="167">
  <si>
    <t>Тухайн жилд худалдан авсан бараа, ажил үйлчилгээний нэр төрөл, тоо хэмжээ, хүчин чадал.</t>
  </si>
  <si>
    <t>батлагдсан төсөвт өртөг</t>
  </si>
  <si>
    <t>гэрээний дүн</t>
  </si>
  <si>
    <t>гэрээний алданги</t>
  </si>
  <si>
    <t>гэрээний хэмнэлт</t>
  </si>
  <si>
    <t>1. Ажил/ Их засвар, барилга угсралт</t>
  </si>
  <si>
    <t>№</t>
  </si>
  <si>
    <t>4-р сургуулийн спорт заалны цахилгаан монтажны ажил</t>
  </si>
  <si>
    <t>суманд интернет тавих</t>
  </si>
  <si>
    <t>Сумын соёлын төвд цэвэр бохир усны шугам тавих</t>
  </si>
  <si>
    <t>үлдсэн санхүүжилт</t>
  </si>
  <si>
    <t>ДҮН</t>
  </si>
  <si>
    <t>2. Бараа /тоног төхөөрөмж/</t>
  </si>
  <si>
    <t>4-р сургуульд ширээ сандал /30 ширхэг/</t>
  </si>
  <si>
    <t>4-р цэцэрлэгийн бүлгийн тоглоом</t>
  </si>
  <si>
    <t>Дүн</t>
  </si>
  <si>
    <t>3. Зураг төсөв /Зөвлөх үйлчилгээ/</t>
  </si>
  <si>
    <t>Өргөх станцын зураг төсөв.</t>
  </si>
  <si>
    <t>4. Хөтөлбөр Төсөл арга хэмжээ</t>
  </si>
  <si>
    <t>гамшгаас хамгаалах зардал</t>
  </si>
  <si>
    <t>сумын баяр наадмын зардал</t>
  </si>
  <si>
    <t>мод тарих, ногоон байгууламж бий болгох услалтын шланк</t>
  </si>
  <si>
    <t>нохой устгал, сумын туурь хог хаягдлыг бууруулахад чиглэсэн арга хэмжээ, зардал</t>
  </si>
  <si>
    <t>зорилтот бүлэгт чиглэсэн хөтөлбөр</t>
  </si>
  <si>
    <t>нийт дүн</t>
  </si>
  <si>
    <t>4-р сургуулийн дотуур байрны засвар</t>
  </si>
  <si>
    <t>Энхжих формат ХХК</t>
  </si>
  <si>
    <t>Их Зэст хөгжил ХХК</t>
  </si>
  <si>
    <t>Чадварлаг залуус бүлэг</t>
  </si>
  <si>
    <t xml:space="preserve">152-р байрны өмнө тоглоомын талбай байгуулах тохижилт авто зогсоолын ажил </t>
  </si>
  <si>
    <t>Койот трейд ХХК</t>
  </si>
  <si>
    <t>Тавин ус ХХК</t>
  </si>
  <si>
    <t>Хөгжих лүн тал ХХК</t>
  </si>
  <si>
    <t>Мөнх ногоон мод ХХК</t>
  </si>
  <si>
    <t>иргэн С.Батмөнх</t>
  </si>
  <si>
    <t>Эрхэм мөнх ХХК</t>
  </si>
  <si>
    <t>ЗДТГ</t>
  </si>
  <si>
    <t>Олгосон санхүүжилт</t>
  </si>
  <si>
    <t>-</t>
  </si>
  <si>
    <t>Нийт дүн</t>
  </si>
  <si>
    <t xml:space="preserve">2016  оны төлөвлөгөөнд тусгагдаж 2017 онд хэрэгжсэн ажил </t>
  </si>
  <si>
    <t>Харвайн толгой ХХК</t>
  </si>
  <si>
    <t>Санхүүжилт</t>
  </si>
  <si>
    <t>Эхний үлдэгдэл</t>
  </si>
  <si>
    <t>Нийт зардал</t>
  </si>
  <si>
    <t xml:space="preserve">Сумын эрүүл мэндийн төвийн түргэн оношилгооны тоног төхөөрөмж </t>
  </si>
  <si>
    <t>4-р сургуулийн дотуур байрны засвар / нэмэлтээр /</t>
  </si>
  <si>
    <t>Гэрээний дүн</t>
  </si>
  <si>
    <t>Тайлбар</t>
  </si>
  <si>
    <t>гүйцэтгэгчийн байгууллагын нэр</t>
  </si>
  <si>
    <t xml:space="preserve">                                                   </t>
  </si>
  <si>
    <r>
      <t xml:space="preserve">   </t>
    </r>
    <r>
      <rPr>
        <b/>
        <sz val="8"/>
        <color rgb="FF000000"/>
        <rFont val="Arial"/>
        <family val="2"/>
      </rPr>
      <t xml:space="preserve">   ГОВЬСҮМБЭР АЙМГИЙН БАЯНТАЛ СУМЫН 2015 ОНЫ ОНХС-ИЙН БАРАА, АЖИЛ, ҮЙЛЧИЛГЭЭНИЙ 
ХУДАЛДАН АВАЛТЫН ТАЙЛАН //</t>
    </r>
  </si>
  <si>
    <t xml:space="preserve">                                                                    </t>
  </si>
  <si>
    <t>Санхүүжилтийн эх үүсвэр: Орон нутгийн хөгжлийн сан                                                                                                                                      2016.01.05</t>
  </si>
  <si>
    <t>Тухай жилд худалдан авсан бараа, ажил үйлчилгээний нэр төрөл, тоо хэмжээ, хүчин чадал</t>
  </si>
  <si>
    <t>Батлагдсан төсөвт өртөг</t>
  </si>
  <si>
    <t>Үлдэгдэл санхүүжилт</t>
  </si>
  <si>
    <t>Гэрээний алданги</t>
  </si>
  <si>
    <t>Гэрээний хэмнэлт</t>
  </si>
  <si>
    <t>Гэрээний эхлэх хугацаа</t>
  </si>
  <si>
    <t>Гэрээний дуусах хугацаа</t>
  </si>
  <si>
    <t>Гүйцэтгэгчийн нэр</t>
  </si>
  <si>
    <t>Хүлээж авсан хугацаа</t>
  </si>
  <si>
    <t xml:space="preserve">АЖИЛ </t>
  </si>
  <si>
    <t>Залуучуудын нийтийн талбайн хашааг засварлах</t>
  </si>
  <si>
    <t>2015.05.11</t>
  </si>
  <si>
    <t>2015.05.18</t>
  </si>
  <si>
    <t>Д.Энхбаяр</t>
  </si>
  <si>
    <t>2015.05.22</t>
  </si>
  <si>
    <t>4-р цэцэрлэгийн дээвэр засварын ажил</t>
  </si>
  <si>
    <t>"Их даян бүүвэй" ХХК</t>
  </si>
  <si>
    <t>4-р цэцэрлэгийн гадна цахилгааны ажил</t>
  </si>
  <si>
    <t>БАРАА</t>
  </si>
  <si>
    <t>Соёлын төвийн техник, тоног төхөөрөмж</t>
  </si>
  <si>
    <t>2015.04.29</t>
  </si>
  <si>
    <t>2015.05.06</t>
  </si>
  <si>
    <t>"Очир мөнх хайрхан" ХХК</t>
  </si>
  <si>
    <t>4-р сургуулийн эмчийн өрөөний тоног төхөөрөмжийн иж бүрдэл</t>
  </si>
  <si>
    <t>2015.05.13</t>
  </si>
  <si>
    <t>2015.05.20</t>
  </si>
  <si>
    <t>"Од эрхэс өөд" ХХК</t>
  </si>
  <si>
    <t>2015.05.26</t>
  </si>
  <si>
    <t>Эрүүл мэндийн төвийн лабораторийн өрөөний иж бүрдэл</t>
  </si>
  <si>
    <t>2015.06.09</t>
  </si>
  <si>
    <t>4-р цэцэрлэгийн сургалтын тоног төхөөрөмж . Тавилга</t>
  </si>
  <si>
    <t>Иргэний танхимын мэдээлийн самбар .мессеж машин</t>
  </si>
  <si>
    <t xml:space="preserve">Дүн </t>
  </si>
  <si>
    <t>ЗӨВЛӨХ ҮЙЛЧИЛГЭЭ, ЗУРАГ ТӨСӨВ БОЛОВСРУУЛАХ</t>
  </si>
  <si>
    <t>Цэцэрлэгийн зураг төсөв</t>
  </si>
  <si>
    <t>2015.02.27</t>
  </si>
  <si>
    <t>2015.03.13</t>
  </si>
  <si>
    <t>"Өсөх оргил прожект" ХХК</t>
  </si>
  <si>
    <t>2015.05.</t>
  </si>
  <si>
    <t>154-р байрны өмнөх 40 автомашины зогсоолын хэмжилтиын зураг, төсөв</t>
  </si>
  <si>
    <t>2015.01.26</t>
  </si>
  <si>
    <t>2015.02.16</t>
  </si>
  <si>
    <t xml:space="preserve">ТӨСӨЛ АРГА ХЭМЖЭЭ </t>
  </si>
  <si>
    <t>Гамшгаас хамгаалах зардал</t>
  </si>
  <si>
    <t>Сумын төвийн туурь хог хаягдал цэвэрлэх, нохой устгал</t>
  </si>
  <si>
    <t>2015.04.09</t>
  </si>
  <si>
    <t>2015.12.25</t>
  </si>
  <si>
    <t>"Нарт боржигины тал" ХХК</t>
  </si>
  <si>
    <t xml:space="preserve">2014 оны ОНХС-ийн хөрөнгө оруулалтаар хийгдсэн ажлуудын зургийн цомог </t>
  </si>
  <si>
    <t>Ш.Шинэбаяр</t>
  </si>
  <si>
    <t>Өмнөх оны ажлыг санхүүжүүл-сэн</t>
  </si>
  <si>
    <t>2014 оны сумын төвийн туурь хог хаягдлын цэвэрлэгээний дутуу санхүүжилт</t>
  </si>
  <si>
    <t>Уурын зуухны бүрэн шинэчлэл, засварын ажил</t>
  </si>
  <si>
    <t>"Термокалор" ХХК</t>
  </si>
  <si>
    <t xml:space="preserve">                        Мэдэээ гаргасан:</t>
  </si>
  <si>
    <t xml:space="preserve">          Дотоод ажил, худалдан авах ажиллагааны</t>
  </si>
  <si>
    <t xml:space="preserve">                                   мэргэжилтэн                               </t>
  </si>
  <si>
    <t>Д.Эрдэнэцэцэг</t>
  </si>
  <si>
    <t xml:space="preserve">                            Хянасан:</t>
  </si>
  <si>
    <t xml:space="preserve">          Засаг даргын Тамгын газрын дарга                                             Б.Улаанхүү</t>
  </si>
  <si>
    <t>Дотуур байрны засвар</t>
  </si>
  <si>
    <t>гамшигын зардал</t>
  </si>
  <si>
    <t>Нохой устгал, туурь хог хаягдал</t>
  </si>
  <si>
    <t>152-р байрны тоглоомын талбай</t>
  </si>
  <si>
    <t>Цэцэрлэгийн дээвэр засвар</t>
  </si>
  <si>
    <t>иргэний танхимын мессеж машин</t>
  </si>
  <si>
    <t>ЭМТөв тоног төхөөрөмж</t>
  </si>
  <si>
    <t>Цэцэрлэгийн тоног төхөөрөмж</t>
  </si>
  <si>
    <t>Ерөнхий төлөвлөгөөний зургийн үлдэгдэл</t>
  </si>
  <si>
    <t>Төсөвт өртөг</t>
  </si>
  <si>
    <t>Хэмнэлт</t>
  </si>
  <si>
    <t>Ажил гүйцэтгэгч байгууллага</t>
  </si>
  <si>
    <t>ТЕРМОКЛОР ХХК</t>
  </si>
  <si>
    <t>ИХ ДАЯН БҮҮВЭЙ ХХК</t>
  </si>
  <si>
    <t>ОЛОН НИЙТИЙН ОРОЛЦООНЫ ШИЙДЭЛ</t>
  </si>
  <si>
    <t>ЭНХ-ӨӨДРӨГ ХХК</t>
  </si>
  <si>
    <t>ИХ БАЯН СҮЛДЭТ ХХК</t>
  </si>
  <si>
    <t>НОМГОН ХАЙРХАН ОРГИЛ ХХК</t>
  </si>
  <si>
    <t>ИЛЧИТ САНСАР ХХК</t>
  </si>
  <si>
    <t>Ажил</t>
  </si>
  <si>
    <t>Төсөл арга хэмжээ</t>
  </si>
  <si>
    <t>Тоног төхөөрөмж</t>
  </si>
  <si>
    <t>Их засвар</t>
  </si>
  <si>
    <t>Зөвлөх үйлчилгээ</t>
  </si>
  <si>
    <t>2017 оны ний дүн</t>
  </si>
  <si>
    <t>Нийт тооцоолол</t>
  </si>
  <si>
    <t>Мөнгөн дүн</t>
  </si>
  <si>
    <t>Үндсэн тэнцлийн ашиг</t>
  </si>
  <si>
    <t>Эцсийн үлдэгдэл</t>
  </si>
  <si>
    <t>Батлагдсан ажил</t>
  </si>
  <si>
    <t>Шүүхэд шилжсэн</t>
  </si>
  <si>
    <t xml:space="preserve">Ажил хийгдээгүй </t>
  </si>
  <si>
    <t>Өглөг</t>
  </si>
  <si>
    <t>Худаг / шинээр гаргах /</t>
  </si>
  <si>
    <t>Сумын баяр наадам</t>
  </si>
  <si>
    <t>Мод тарих, ногоон байгууламж бий болгох</t>
  </si>
  <si>
    <t>Өвс тэжээлийн нөөц бүрдүүлэх</t>
  </si>
  <si>
    <t>Мал хамгаалах сан  / тэжээлийн нөөц /</t>
  </si>
  <si>
    <t>Уурын зуухны тогоо шинэчлэх</t>
  </si>
  <si>
    <t>Уурын зуухны их засварын ажил</t>
  </si>
  <si>
    <t xml:space="preserve"> 2015 оны төлөвлөгөөнд тусгагдаж 2016 онд хийгдсэн ажил </t>
  </si>
  <si>
    <t>2017 оны нийт дүн</t>
  </si>
  <si>
    <t>Тооцоолол гаргасан: Төрийн сангийн мэргэжилтэн                                         Б.Батсүх</t>
  </si>
  <si>
    <t>Шинээр худаг барих ажил</t>
  </si>
  <si>
    <t>4-р сургуулийн дотуур байрны хүүхдийн зөөлөн эдлэл</t>
  </si>
  <si>
    <t>4-р цэцэрлэгийн 100 хүүхдийн зөөлөн эдлэл</t>
  </si>
  <si>
    <t>Өвс тэжээлийн нөөц бүрдүүлэлт</t>
  </si>
  <si>
    <t>Малыг бүртгэлжүүлэлттэнд хамруулах ээмэгний мөнгө</t>
  </si>
  <si>
    <t>2-р багийн төвийн барилгын зураг төсөв</t>
  </si>
  <si>
    <t>Ноосны урамшуулал</t>
  </si>
  <si>
    <t xml:space="preserve">Авто  зогсоол нэмэлтээр </t>
  </si>
  <si>
    <t>Говьсүмбэр аймгийн Баянтал сумын 2017 оны ОНХСангийн бараа ажил үйлчилгээний  худалдан авалтын тайлан</t>
  </si>
  <si>
    <t>ОНХСангаас хийгдсэн 2017 оны тайлан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</si>
</sst>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9"/>
      <color theme="1"/>
      <name val="Arial"/>
      <family val="2"/>
    </font>
    <font>
      <i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0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wrapText="1"/>
    </xf>
    <xf numFmtId="3" fontId="3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4" fontId="3" fillId="0" borderId="6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6" xfId="0" applyNumberFormat="1" applyFont="1" applyBorder="1"/>
    <xf numFmtId="3" fontId="3" fillId="0" borderId="6" xfId="0" applyNumberFormat="1" applyFont="1" applyBorder="1" applyAlignment="1">
      <alignment horizontal="center" vertical="center"/>
    </xf>
    <xf numFmtId="0" fontId="9" fillId="0" borderId="0" xfId="0" applyFont="1"/>
    <xf numFmtId="3" fontId="9" fillId="0" borderId="0" xfId="0" applyNumberFormat="1" applyFont="1"/>
    <xf numFmtId="4" fontId="11" fillId="4" borderId="0" xfId="0" applyNumberFormat="1" applyFont="1" applyFill="1"/>
    <xf numFmtId="0" fontId="11" fillId="4" borderId="0" xfId="0" applyFont="1" applyFill="1"/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165" fontId="11" fillId="4" borderId="1" xfId="1" applyNumberFormat="1" applyFont="1" applyFill="1" applyBorder="1"/>
    <xf numFmtId="165" fontId="11" fillId="4" borderId="2" xfId="1" applyNumberFormat="1" applyFont="1" applyFill="1" applyBorder="1" applyAlignment="1">
      <alignment horizontal="center" vertical="center"/>
    </xf>
    <xf numFmtId="165" fontId="11" fillId="4" borderId="1" xfId="0" applyNumberFormat="1" applyFont="1" applyFill="1" applyBorder="1"/>
    <xf numFmtId="165" fontId="11" fillId="4" borderId="1" xfId="1" applyNumberFormat="1" applyFont="1" applyFill="1" applyBorder="1" applyAlignment="1">
      <alignment horizontal="center"/>
    </xf>
    <xf numFmtId="49" fontId="11" fillId="4" borderId="1" xfId="1" applyNumberFormat="1" applyFont="1" applyFill="1" applyBorder="1" applyAlignment="1">
      <alignment horizontal="center"/>
    </xf>
    <xf numFmtId="0" fontId="11" fillId="5" borderId="1" xfId="0" applyFont="1" applyFill="1" applyBorder="1"/>
    <xf numFmtId="165" fontId="11" fillId="5" borderId="1" xfId="1" applyNumberFormat="1" applyFont="1" applyFill="1" applyBorder="1"/>
    <xf numFmtId="165" fontId="11" fillId="5" borderId="2" xfId="1" applyNumberFormat="1" applyFont="1" applyFill="1" applyBorder="1" applyAlignment="1">
      <alignment horizontal="center" vertical="center"/>
    </xf>
    <xf numFmtId="165" fontId="11" fillId="5" borderId="1" xfId="0" applyNumberFormat="1" applyFont="1" applyFill="1" applyBorder="1"/>
    <xf numFmtId="165" fontId="11" fillId="5" borderId="1" xfId="1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6" borderId="1" xfId="0" applyFont="1" applyFill="1" applyBorder="1"/>
    <xf numFmtId="165" fontId="11" fillId="6" borderId="1" xfId="1" applyNumberFormat="1" applyFont="1" applyFill="1" applyBorder="1"/>
    <xf numFmtId="165" fontId="11" fillId="6" borderId="2" xfId="1" applyNumberFormat="1" applyFont="1" applyFill="1" applyBorder="1" applyAlignment="1">
      <alignment horizontal="center" vertical="center"/>
    </xf>
    <xf numFmtId="165" fontId="11" fillId="6" borderId="1" xfId="0" applyNumberFormat="1" applyFont="1" applyFill="1" applyBorder="1"/>
    <xf numFmtId="165" fontId="11" fillId="6" borderId="1" xfId="1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165" fontId="11" fillId="4" borderId="0" xfId="1" applyNumberFormat="1" applyFont="1" applyFill="1" applyAlignment="1">
      <alignment horizontal="center"/>
    </xf>
    <xf numFmtId="165" fontId="11" fillId="5" borderId="0" xfId="1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165" fontId="11" fillId="4" borderId="0" xfId="1" applyNumberFormat="1" applyFont="1" applyFill="1"/>
    <xf numFmtId="165" fontId="11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 vertical="center"/>
    </xf>
    <xf numFmtId="164" fontId="11" fillId="4" borderId="0" xfId="1" applyFont="1" applyFill="1"/>
    <xf numFmtId="165" fontId="11" fillId="4" borderId="0" xfId="0" applyNumberFormat="1" applyFont="1" applyFill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65" fontId="11" fillId="4" borderId="1" xfId="1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 applyAlignment="1"/>
    <xf numFmtId="0" fontId="13" fillId="4" borderId="0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vertical="center" wrapText="1"/>
    </xf>
    <xf numFmtId="164" fontId="11" fillId="4" borderId="0" xfId="0" applyNumberFormat="1" applyFont="1" applyFill="1"/>
    <xf numFmtId="0" fontId="11" fillId="2" borderId="1" xfId="0" applyFont="1" applyFill="1" applyBorder="1"/>
    <xf numFmtId="165" fontId="10" fillId="6" borderId="1" xfId="1" applyNumberFormat="1" applyFont="1" applyFill="1" applyBorder="1" applyAlignment="1">
      <alignment horizontal="center" vertical="center" wrapText="1"/>
    </xf>
    <xf numFmtId="165" fontId="10" fillId="6" borderId="2" xfId="1" applyNumberFormat="1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 applyAlignment="1">
      <alignment vertical="center"/>
    </xf>
    <xf numFmtId="164" fontId="11" fillId="4" borderId="11" xfId="0" applyNumberFormat="1" applyFont="1" applyFill="1" applyBorder="1" applyAlignment="1">
      <alignment vertical="center"/>
    </xf>
    <xf numFmtId="0" fontId="12" fillId="4" borderId="0" xfId="0" applyFont="1" applyFill="1" applyBorder="1" applyAlignment="1">
      <alignment horizontal="center" vertical="center" wrapText="1"/>
    </xf>
    <xf numFmtId="14" fontId="12" fillId="4" borderId="0" xfId="0" applyNumberFormat="1" applyFont="1" applyFill="1" applyBorder="1" applyAlignment="1">
      <alignment horizontal="center" vertical="center" wrapText="1"/>
    </xf>
    <xf numFmtId="165" fontId="11" fillId="7" borderId="1" xfId="0" applyNumberFormat="1" applyFont="1" applyFill="1" applyBorder="1" applyAlignment="1">
      <alignment horizontal="center" vertical="center" wrapText="1"/>
    </xf>
    <xf numFmtId="165" fontId="11" fillId="7" borderId="1" xfId="1" applyNumberFormat="1" applyFont="1" applyFill="1" applyBorder="1" applyAlignment="1">
      <alignment horizontal="center" vertical="center" wrapText="1"/>
    </xf>
    <xf numFmtId="165" fontId="11" fillId="4" borderId="11" xfId="0" applyNumberFormat="1" applyFont="1" applyFill="1" applyBorder="1" applyAlignment="1">
      <alignment vertical="center"/>
    </xf>
    <xf numFmtId="164" fontId="11" fillId="4" borderId="1" xfId="1" applyFon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vertical="center"/>
    </xf>
    <xf numFmtId="164" fontId="11" fillId="7" borderId="1" xfId="1" applyNumberFormat="1" applyFont="1" applyFill="1" applyBorder="1" applyAlignment="1">
      <alignment horizontal="center" vertical="center" wrapText="1"/>
    </xf>
    <xf numFmtId="164" fontId="11" fillId="4" borderId="1" xfId="1" applyNumberFormat="1" applyFont="1" applyFill="1" applyBorder="1"/>
    <xf numFmtId="0" fontId="10" fillId="6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</cellXfs>
  <cellStyles count="3">
    <cellStyle name="Comma" xfId="1" builtinId="3"/>
    <cellStyle name="Comma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zoomScaleNormal="100" workbookViewId="0">
      <selection activeCell="H6" sqref="H6"/>
    </sheetView>
  </sheetViews>
  <sheetFormatPr defaultRowHeight="11.25" x14ac:dyDescent="0.2"/>
  <cols>
    <col min="1" max="1" width="5.28515625" style="26" customWidth="1"/>
    <col min="2" max="2" width="28.85546875" style="26" customWidth="1"/>
    <col min="3" max="3" width="13.28515625" style="26" customWidth="1"/>
    <col min="4" max="4" width="12.7109375" style="26" customWidth="1"/>
    <col min="5" max="5" width="14.5703125" style="26" customWidth="1"/>
    <col min="6" max="6" width="13" style="26" customWidth="1"/>
    <col min="7" max="7" width="7" style="26" customWidth="1"/>
    <col min="8" max="8" width="10.42578125" style="26" customWidth="1"/>
    <col min="9" max="9" width="18.5703125" style="26" customWidth="1"/>
    <col min="10" max="10" width="12.7109375" style="26" customWidth="1"/>
    <col min="11" max="11" width="14.42578125" style="26" bestFit="1" customWidth="1"/>
    <col min="12" max="12" width="9.140625" style="26"/>
    <col min="13" max="13" width="13.140625" style="26" customWidth="1"/>
    <col min="14" max="16384" width="9.140625" style="26"/>
  </cols>
  <sheetData>
    <row r="1" spans="1:10" ht="4.5" customHeight="1" x14ac:dyDescent="0.2">
      <c r="A1" s="101" t="s">
        <v>166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4.5" customHeight="1" x14ac:dyDescent="0.2">
      <c r="A2" s="101"/>
      <c r="B2" s="101"/>
      <c r="C2" s="101"/>
      <c r="D2" s="101"/>
      <c r="E2" s="101"/>
      <c r="F2" s="101"/>
      <c r="G2" s="101"/>
      <c r="H2" s="101"/>
      <c r="I2" s="101"/>
      <c r="J2" s="101"/>
    </row>
    <row r="3" spans="1:10" ht="11.25" customHeight="1" x14ac:dyDescent="0.2">
      <c r="A3" s="83"/>
      <c r="B3" s="83"/>
      <c r="C3" s="83"/>
      <c r="D3" s="83"/>
      <c r="E3" s="83"/>
      <c r="F3" s="83"/>
      <c r="G3" s="83"/>
      <c r="H3" s="83"/>
      <c r="I3" s="84">
        <v>43100</v>
      </c>
      <c r="J3" s="83"/>
    </row>
    <row r="4" spans="1:10" ht="33.75" customHeight="1" x14ac:dyDescent="0.2">
      <c r="A4" s="60" t="s">
        <v>6</v>
      </c>
      <c r="B4" s="60" t="s">
        <v>0</v>
      </c>
      <c r="C4" s="60" t="s">
        <v>1</v>
      </c>
      <c r="D4" s="60" t="s">
        <v>2</v>
      </c>
      <c r="E4" s="60" t="s">
        <v>37</v>
      </c>
      <c r="F4" s="60" t="s">
        <v>10</v>
      </c>
      <c r="G4" s="60" t="s">
        <v>3</v>
      </c>
      <c r="H4" s="60" t="s">
        <v>4</v>
      </c>
      <c r="I4" s="60" t="s">
        <v>49</v>
      </c>
      <c r="J4" s="61" t="s">
        <v>48</v>
      </c>
    </row>
    <row r="5" spans="1:10" ht="10.5" customHeight="1" x14ac:dyDescent="0.2">
      <c r="A5" s="96" t="s">
        <v>5</v>
      </c>
      <c r="B5" s="97"/>
      <c r="C5" s="97"/>
      <c r="D5" s="97"/>
      <c r="E5" s="97"/>
      <c r="F5" s="97"/>
      <c r="G5" s="97"/>
      <c r="H5" s="97"/>
      <c r="I5" s="97"/>
      <c r="J5" s="98"/>
    </row>
    <row r="6" spans="1:10" ht="21.75" customHeight="1" x14ac:dyDescent="0.2">
      <c r="A6" s="60">
        <v>1</v>
      </c>
      <c r="B6" s="62" t="s">
        <v>7</v>
      </c>
      <c r="C6" s="63">
        <v>8800000</v>
      </c>
      <c r="D6" s="63">
        <v>8800000</v>
      </c>
      <c r="E6" s="64">
        <f>2640000+3520000+2464000+176000</f>
        <v>8800000</v>
      </c>
      <c r="F6" s="64">
        <f>+D6-E6</f>
        <v>0</v>
      </c>
      <c r="G6" s="62"/>
      <c r="H6" s="62"/>
      <c r="I6" s="62" t="s">
        <v>26</v>
      </c>
      <c r="J6" s="29"/>
    </row>
    <row r="7" spans="1:10" ht="21.75" customHeight="1" x14ac:dyDescent="0.2">
      <c r="A7" s="60">
        <v>2</v>
      </c>
      <c r="B7" s="62" t="s">
        <v>8</v>
      </c>
      <c r="C7" s="63">
        <v>5000000</v>
      </c>
      <c r="D7" s="63">
        <v>5000000</v>
      </c>
      <c r="E7" s="64">
        <f>1500000+2500000+1000000</f>
        <v>5000000</v>
      </c>
      <c r="F7" s="64">
        <f>+D7-E7</f>
        <v>0</v>
      </c>
      <c r="G7" s="62"/>
      <c r="H7" s="62"/>
      <c r="I7" s="62" t="s">
        <v>27</v>
      </c>
      <c r="J7" s="29"/>
    </row>
    <row r="8" spans="1:10" ht="21.75" customHeight="1" x14ac:dyDescent="0.2">
      <c r="A8" s="60">
        <v>3</v>
      </c>
      <c r="B8" s="62" t="s">
        <v>9</v>
      </c>
      <c r="C8" s="63">
        <v>7000000</v>
      </c>
      <c r="D8" s="63">
        <v>7000000</v>
      </c>
      <c r="E8" s="64">
        <f>2800000+4040000+160000</f>
        <v>7000000</v>
      </c>
      <c r="F8" s="64">
        <f>+D8-E8</f>
        <v>0</v>
      </c>
      <c r="G8" s="62"/>
      <c r="H8" s="62"/>
      <c r="I8" s="62" t="s">
        <v>28</v>
      </c>
      <c r="J8" s="29"/>
    </row>
    <row r="9" spans="1:10" ht="13.5" customHeight="1" x14ac:dyDescent="0.2">
      <c r="A9" s="60"/>
      <c r="B9" s="62" t="s">
        <v>164</v>
      </c>
      <c r="C9" s="63">
        <v>4000000</v>
      </c>
      <c r="D9" s="63">
        <v>4000000</v>
      </c>
      <c r="E9" s="64">
        <v>4000000</v>
      </c>
      <c r="F9" s="64">
        <f>+D9-E9</f>
        <v>0</v>
      </c>
      <c r="G9" s="62"/>
      <c r="H9" s="62"/>
      <c r="I9" s="62"/>
      <c r="J9" s="29"/>
    </row>
    <row r="10" spans="1:10" ht="13.5" customHeight="1" x14ac:dyDescent="0.2">
      <c r="A10" s="99" t="s">
        <v>11</v>
      </c>
      <c r="B10" s="99"/>
      <c r="C10" s="59">
        <f>SUM(C6:C9)</f>
        <v>24800000</v>
      </c>
      <c r="D10" s="59">
        <f>SUM(D6:D9)</f>
        <v>24800000</v>
      </c>
      <c r="E10" s="59">
        <f>SUM(E6:E9)</f>
        <v>24800000</v>
      </c>
      <c r="F10" s="59">
        <f>SUM(F6:F8)</f>
        <v>0</v>
      </c>
      <c r="G10" s="59">
        <f>SUM(G6:G8)</f>
        <v>0</v>
      </c>
      <c r="H10" s="59">
        <f>SUM(H6:H8)</f>
        <v>0</v>
      </c>
      <c r="I10" s="76"/>
      <c r="J10" s="70"/>
    </row>
    <row r="11" spans="1:10" ht="12" customHeight="1" x14ac:dyDescent="0.2">
      <c r="A11" s="96" t="s">
        <v>12</v>
      </c>
      <c r="B11" s="97"/>
      <c r="C11" s="97"/>
      <c r="D11" s="97"/>
      <c r="E11" s="97"/>
      <c r="F11" s="97"/>
      <c r="G11" s="97"/>
      <c r="H11" s="97"/>
      <c r="I11" s="97"/>
      <c r="J11" s="98"/>
    </row>
    <row r="12" spans="1:10" ht="21.75" customHeight="1" x14ac:dyDescent="0.2">
      <c r="A12" s="60">
        <v>1</v>
      </c>
      <c r="B12" s="62" t="s">
        <v>45</v>
      </c>
      <c r="C12" s="63">
        <v>3000000</v>
      </c>
      <c r="D12" s="63">
        <v>3000000</v>
      </c>
      <c r="E12" s="64">
        <v>3000000</v>
      </c>
      <c r="F12" s="64">
        <f>+D12-E12</f>
        <v>0</v>
      </c>
      <c r="G12" s="62"/>
      <c r="H12" s="62"/>
      <c r="I12" s="62" t="s">
        <v>31</v>
      </c>
      <c r="J12" s="29"/>
    </row>
    <row r="13" spans="1:10" ht="21.75" customHeight="1" x14ac:dyDescent="0.2">
      <c r="A13" s="60"/>
      <c r="B13" s="62" t="s">
        <v>158</v>
      </c>
      <c r="C13" s="63">
        <v>3725000</v>
      </c>
      <c r="D13" s="63">
        <v>3725000</v>
      </c>
      <c r="E13" s="64">
        <f>1490000+2235000</f>
        <v>3725000</v>
      </c>
      <c r="F13" s="64">
        <f>+D13-E13</f>
        <v>0</v>
      </c>
      <c r="G13" s="62"/>
      <c r="H13" s="62"/>
      <c r="I13" s="62"/>
      <c r="J13" s="29"/>
    </row>
    <row r="14" spans="1:10" ht="18" customHeight="1" x14ac:dyDescent="0.2">
      <c r="A14" s="60"/>
      <c r="B14" s="62" t="s">
        <v>159</v>
      </c>
      <c r="C14" s="63">
        <v>2500000</v>
      </c>
      <c r="D14" s="63">
        <v>2500000</v>
      </c>
      <c r="E14" s="64">
        <f>1000000+1500000</f>
        <v>2500000</v>
      </c>
      <c r="F14" s="64">
        <f>+D14-E14</f>
        <v>0</v>
      </c>
      <c r="G14" s="62"/>
      <c r="H14" s="62"/>
      <c r="I14" s="62"/>
      <c r="J14" s="29"/>
    </row>
    <row r="15" spans="1:10" ht="21.75" customHeight="1" x14ac:dyDescent="0.2">
      <c r="A15" s="60">
        <v>2</v>
      </c>
      <c r="B15" s="62" t="s">
        <v>13</v>
      </c>
      <c r="C15" s="63">
        <v>6600000</v>
      </c>
      <c r="D15" s="63">
        <v>6600000</v>
      </c>
      <c r="E15" s="64">
        <f>2640000+1980000+1980000</f>
        <v>6600000</v>
      </c>
      <c r="F15" s="64">
        <f>+D15-E15</f>
        <v>0</v>
      </c>
      <c r="G15" s="62"/>
      <c r="H15" s="62"/>
      <c r="I15" s="62" t="s">
        <v>32</v>
      </c>
      <c r="J15" s="29"/>
    </row>
    <row r="16" spans="1:10" ht="12" customHeight="1" x14ac:dyDescent="0.2">
      <c r="A16" s="60">
        <v>3</v>
      </c>
      <c r="B16" s="62" t="s">
        <v>14</v>
      </c>
      <c r="C16" s="63">
        <v>5000000</v>
      </c>
      <c r="D16" s="63">
        <v>5000000</v>
      </c>
      <c r="E16" s="64">
        <v>5000000</v>
      </c>
      <c r="F16" s="64">
        <f>+D16-E16</f>
        <v>0</v>
      </c>
      <c r="G16" s="62"/>
      <c r="H16" s="62"/>
      <c r="I16" s="62" t="s">
        <v>35</v>
      </c>
      <c r="J16" s="29"/>
    </row>
    <row r="17" spans="1:11" ht="10.5" customHeight="1" x14ac:dyDescent="0.2">
      <c r="A17" s="94" t="s">
        <v>15</v>
      </c>
      <c r="B17" s="95"/>
      <c r="C17" s="58">
        <f t="shared" ref="C17:H17" si="0">SUM(C12:C16)</f>
        <v>20825000</v>
      </c>
      <c r="D17" s="58">
        <f t="shared" si="0"/>
        <v>20825000</v>
      </c>
      <c r="E17" s="58">
        <f t="shared" si="0"/>
        <v>20825000</v>
      </c>
      <c r="F17" s="58">
        <f t="shared" si="0"/>
        <v>0</v>
      </c>
      <c r="G17" s="58">
        <f t="shared" si="0"/>
        <v>0</v>
      </c>
      <c r="H17" s="58">
        <f t="shared" si="0"/>
        <v>0</v>
      </c>
      <c r="I17" s="76"/>
      <c r="J17" s="70"/>
    </row>
    <row r="18" spans="1:11" ht="14.25" customHeight="1" x14ac:dyDescent="0.2">
      <c r="A18" s="96" t="s">
        <v>16</v>
      </c>
      <c r="B18" s="97"/>
      <c r="C18" s="97"/>
      <c r="D18" s="97"/>
      <c r="E18" s="97"/>
      <c r="F18" s="97"/>
      <c r="G18" s="97"/>
      <c r="H18" s="97"/>
      <c r="I18" s="97"/>
      <c r="J18" s="98"/>
    </row>
    <row r="19" spans="1:11" ht="11.25" customHeight="1" x14ac:dyDescent="0.2">
      <c r="A19" s="60">
        <v>1</v>
      </c>
      <c r="B19" s="62" t="s">
        <v>17</v>
      </c>
      <c r="C19" s="63">
        <v>10000000</v>
      </c>
      <c r="D19" s="88">
        <v>10000000</v>
      </c>
      <c r="E19" s="88">
        <v>3000000</v>
      </c>
      <c r="F19" s="63">
        <f>D19-E19</f>
        <v>7000000</v>
      </c>
      <c r="G19" s="62"/>
      <c r="H19" s="62"/>
      <c r="I19" s="62"/>
      <c r="J19" s="29"/>
    </row>
    <row r="20" spans="1:11" ht="18.75" customHeight="1" x14ac:dyDescent="0.2">
      <c r="A20" s="75"/>
      <c r="B20" s="80" t="s">
        <v>162</v>
      </c>
      <c r="C20" s="63">
        <v>8000000</v>
      </c>
      <c r="D20" s="62"/>
      <c r="E20" s="88">
        <v>2400000</v>
      </c>
      <c r="F20" s="63">
        <f>C20-E20</f>
        <v>5600000</v>
      </c>
      <c r="G20" s="62"/>
      <c r="H20" s="62"/>
      <c r="I20" s="62"/>
      <c r="J20" s="29"/>
    </row>
    <row r="21" spans="1:11" ht="12.75" customHeight="1" x14ac:dyDescent="0.2">
      <c r="A21" s="94" t="s">
        <v>15</v>
      </c>
      <c r="B21" s="95"/>
      <c r="C21" s="59">
        <f>SUM(C19:C20)</f>
        <v>18000000</v>
      </c>
      <c r="D21" s="59">
        <f t="shared" ref="D21:H21" si="1">SUM(D19)</f>
        <v>10000000</v>
      </c>
      <c r="E21" s="59">
        <f>SUM(E19:E20)</f>
        <v>5400000</v>
      </c>
      <c r="F21" s="59">
        <f>SUM(F19:F20)</f>
        <v>12600000</v>
      </c>
      <c r="G21" s="59">
        <f t="shared" si="1"/>
        <v>0</v>
      </c>
      <c r="H21" s="59">
        <f t="shared" si="1"/>
        <v>0</v>
      </c>
      <c r="I21" s="76"/>
      <c r="J21" s="70"/>
    </row>
    <row r="22" spans="1:11" ht="15" customHeight="1" x14ac:dyDescent="0.2">
      <c r="A22" s="96" t="s">
        <v>18</v>
      </c>
      <c r="B22" s="97"/>
      <c r="C22" s="97"/>
      <c r="D22" s="97"/>
      <c r="E22" s="97"/>
      <c r="F22" s="97"/>
      <c r="G22" s="97"/>
      <c r="H22" s="97"/>
      <c r="I22" s="97"/>
      <c r="J22" s="98"/>
    </row>
    <row r="23" spans="1:11" ht="12" customHeight="1" x14ac:dyDescent="0.2">
      <c r="A23" s="60">
        <v>1</v>
      </c>
      <c r="B23" s="62" t="s">
        <v>19</v>
      </c>
      <c r="C23" s="63">
        <v>5190500</v>
      </c>
      <c r="D23" s="63"/>
      <c r="E23" s="64">
        <f>199698+56700+80000+500000+750000+900000+2604102+100000</f>
        <v>5190500</v>
      </c>
      <c r="F23" s="86">
        <f t="shared" ref="F23:F29" si="2">+C23-E23</f>
        <v>0</v>
      </c>
      <c r="G23" s="63"/>
      <c r="H23" s="63"/>
      <c r="I23" s="62" t="s">
        <v>36</v>
      </c>
      <c r="J23" s="29"/>
    </row>
    <row r="24" spans="1:11" ht="10.5" customHeight="1" x14ac:dyDescent="0.2">
      <c r="A24" s="60">
        <v>2</v>
      </c>
      <c r="B24" s="62" t="s">
        <v>20</v>
      </c>
      <c r="C24" s="63">
        <v>5000000</v>
      </c>
      <c r="D24" s="63"/>
      <c r="E24" s="64">
        <v>5000000</v>
      </c>
      <c r="F24" s="86">
        <f t="shared" si="2"/>
        <v>0</v>
      </c>
      <c r="G24" s="63"/>
      <c r="H24" s="63"/>
      <c r="I24" s="65" t="s">
        <v>36</v>
      </c>
      <c r="J24" s="29"/>
    </row>
    <row r="25" spans="1:11" ht="19.5" customHeight="1" x14ac:dyDescent="0.2">
      <c r="A25" s="60">
        <v>3</v>
      </c>
      <c r="B25" s="62" t="s">
        <v>21</v>
      </c>
      <c r="C25" s="63">
        <v>885000</v>
      </c>
      <c r="D25" s="63"/>
      <c r="E25" s="64">
        <f>229500+25500+270000+30000+330000</f>
        <v>885000</v>
      </c>
      <c r="F25" s="86">
        <f t="shared" si="2"/>
        <v>0</v>
      </c>
      <c r="G25" s="63"/>
      <c r="H25" s="63"/>
      <c r="I25" s="65" t="s">
        <v>33</v>
      </c>
      <c r="J25" s="29"/>
    </row>
    <row r="26" spans="1:11" ht="19.5" customHeight="1" x14ac:dyDescent="0.2">
      <c r="A26" s="60">
        <v>4</v>
      </c>
      <c r="B26" s="62" t="s">
        <v>22</v>
      </c>
      <c r="C26" s="63">
        <v>5000000</v>
      </c>
      <c r="D26" s="63"/>
      <c r="E26" s="64">
        <f>500000+100000+529000+588000+588000+588000+510300+56700+364000+588000+58800+106000+423200</f>
        <v>5000000</v>
      </c>
      <c r="F26" s="86">
        <f t="shared" si="2"/>
        <v>0</v>
      </c>
      <c r="G26" s="63"/>
      <c r="H26" s="63"/>
      <c r="I26" s="65" t="s">
        <v>34</v>
      </c>
      <c r="J26" s="29"/>
    </row>
    <row r="27" spans="1:11" ht="19.5" customHeight="1" x14ac:dyDescent="0.2">
      <c r="A27" s="60"/>
      <c r="B27" s="62" t="s">
        <v>160</v>
      </c>
      <c r="C27" s="63">
        <v>5000000</v>
      </c>
      <c r="D27" s="63"/>
      <c r="E27" s="64">
        <f>2412000+2588000</f>
        <v>5000000</v>
      </c>
      <c r="F27" s="86">
        <f>+C27-E27</f>
        <v>0</v>
      </c>
      <c r="G27" s="63"/>
      <c r="H27" s="63"/>
      <c r="I27" s="65"/>
      <c r="J27" s="29"/>
    </row>
    <row r="28" spans="1:11" ht="19.5" customHeight="1" x14ac:dyDescent="0.2">
      <c r="A28" s="60"/>
      <c r="B28" s="62" t="s">
        <v>161</v>
      </c>
      <c r="C28" s="63">
        <v>2384740</v>
      </c>
      <c r="D28" s="63"/>
      <c r="E28" s="64">
        <v>2384740</v>
      </c>
      <c r="F28" s="86">
        <f>+C28-E28</f>
        <v>0</v>
      </c>
      <c r="G28" s="63"/>
      <c r="H28" s="63"/>
      <c r="I28" s="65"/>
      <c r="J28" s="29"/>
      <c r="K28" s="55"/>
    </row>
    <row r="29" spans="1:11" ht="19.5" customHeight="1" x14ac:dyDescent="0.2">
      <c r="A29" s="60">
        <v>5</v>
      </c>
      <c r="B29" s="62" t="s">
        <v>23</v>
      </c>
      <c r="C29" s="63">
        <v>2069000</v>
      </c>
      <c r="D29" s="63"/>
      <c r="E29" s="62"/>
      <c r="F29" s="86">
        <f t="shared" si="2"/>
        <v>2069000</v>
      </c>
      <c r="G29" s="63"/>
      <c r="H29" s="63"/>
      <c r="I29" s="65"/>
      <c r="J29" s="29"/>
    </row>
    <row r="30" spans="1:11" ht="19.5" customHeight="1" x14ac:dyDescent="0.2">
      <c r="A30" s="99" t="s">
        <v>15</v>
      </c>
      <c r="B30" s="99"/>
      <c r="C30" s="58">
        <f>SUM(C23:C29)</f>
        <v>25529240</v>
      </c>
      <c r="D30" s="58">
        <f t="shared" ref="D30:H30" si="3">SUM(D23:D29)</f>
        <v>0</v>
      </c>
      <c r="E30" s="58">
        <f>SUM(E23:E29)</f>
        <v>23460240</v>
      </c>
      <c r="F30" s="58">
        <f>SUM(F23:F29)</f>
        <v>2069000</v>
      </c>
      <c r="G30" s="58">
        <f t="shared" si="3"/>
        <v>0</v>
      </c>
      <c r="H30" s="58">
        <f t="shared" si="3"/>
        <v>0</v>
      </c>
      <c r="I30" s="77"/>
      <c r="J30" s="70"/>
    </row>
    <row r="31" spans="1:11" ht="14.25" customHeight="1" x14ac:dyDescent="0.2">
      <c r="A31" s="100" t="s">
        <v>24</v>
      </c>
      <c r="B31" s="100"/>
      <c r="C31" s="71">
        <f t="shared" ref="C31:H31" si="4">+C10+C17+C21+C30</f>
        <v>89154240</v>
      </c>
      <c r="D31" s="71">
        <f t="shared" si="4"/>
        <v>55625000</v>
      </c>
      <c r="E31" s="71">
        <f>+E10+E17+E21+E30</f>
        <v>74485240</v>
      </c>
      <c r="F31" s="71">
        <f t="shared" si="4"/>
        <v>14669000</v>
      </c>
      <c r="G31" s="71">
        <f t="shared" si="4"/>
        <v>0</v>
      </c>
      <c r="H31" s="71">
        <f t="shared" si="4"/>
        <v>0</v>
      </c>
      <c r="I31" s="72"/>
      <c r="J31" s="41"/>
    </row>
    <row r="32" spans="1:11" ht="21.75" customHeight="1" x14ac:dyDescent="0.2">
      <c r="A32" s="97" t="s">
        <v>40</v>
      </c>
      <c r="B32" s="97"/>
      <c r="C32" s="97"/>
      <c r="D32" s="97"/>
      <c r="E32" s="97"/>
      <c r="F32" s="97"/>
      <c r="G32" s="97"/>
      <c r="H32" s="97"/>
      <c r="I32" s="97"/>
      <c r="J32" s="98"/>
    </row>
    <row r="33" spans="1:10" ht="15" customHeight="1" x14ac:dyDescent="0.2">
      <c r="A33" s="60">
        <v>1</v>
      </c>
      <c r="B33" s="62" t="s">
        <v>25</v>
      </c>
      <c r="C33" s="63">
        <v>54896000</v>
      </c>
      <c r="D33" s="63">
        <v>49862830</v>
      </c>
      <c r="E33" s="64">
        <f>14958849+19945132+14006835+873407</f>
        <v>49784223</v>
      </c>
      <c r="F33" s="85">
        <f>D33-E33</f>
        <v>78607</v>
      </c>
      <c r="G33" s="62"/>
      <c r="H33" s="62"/>
      <c r="I33" s="65" t="s">
        <v>41</v>
      </c>
      <c r="J33" s="29"/>
    </row>
    <row r="34" spans="1:10" ht="22.5" customHeight="1" x14ac:dyDescent="0.2">
      <c r="A34" s="60">
        <v>2</v>
      </c>
      <c r="B34" s="62" t="s">
        <v>46</v>
      </c>
      <c r="C34" s="63"/>
      <c r="D34" s="63">
        <v>5033170</v>
      </c>
      <c r="E34" s="64">
        <f>1509951+1903546+1509951</f>
        <v>4923448</v>
      </c>
      <c r="F34" s="85">
        <f>D34-E34</f>
        <v>109722</v>
      </c>
      <c r="G34" s="62"/>
      <c r="H34" s="62"/>
      <c r="I34" s="65" t="s">
        <v>41</v>
      </c>
      <c r="J34" s="29"/>
    </row>
    <row r="35" spans="1:10" ht="32.25" customHeight="1" x14ac:dyDescent="0.2">
      <c r="A35" s="60">
        <v>3</v>
      </c>
      <c r="B35" s="62" t="s">
        <v>29</v>
      </c>
      <c r="C35" s="63">
        <v>154286000</v>
      </c>
      <c r="D35" s="63">
        <f>125385923</f>
        <v>125385923</v>
      </c>
      <c r="E35" s="64">
        <f>37615776+50253252+14816071+1098143+10235243+6269295+1098143+4000000</f>
        <v>125385923</v>
      </c>
      <c r="F35" s="90">
        <f>D35-E35</f>
        <v>0</v>
      </c>
      <c r="G35" s="63"/>
      <c r="H35" s="63">
        <v>28900077</v>
      </c>
      <c r="I35" s="65" t="s">
        <v>30</v>
      </c>
      <c r="J35" s="27" t="s">
        <v>124</v>
      </c>
    </row>
    <row r="36" spans="1:10" ht="13.5" customHeight="1" x14ac:dyDescent="0.2">
      <c r="A36" s="60"/>
      <c r="B36" s="62" t="s">
        <v>157</v>
      </c>
      <c r="C36" s="63">
        <v>9500000</v>
      </c>
      <c r="D36" s="63">
        <v>18000000</v>
      </c>
      <c r="E36" s="64"/>
      <c r="F36" s="86">
        <v>9500000</v>
      </c>
      <c r="G36" s="63"/>
      <c r="H36" s="63"/>
      <c r="I36" s="62"/>
      <c r="J36" s="27"/>
    </row>
    <row r="37" spans="1:10" ht="15" customHeight="1" x14ac:dyDescent="0.2">
      <c r="A37" s="94" t="s">
        <v>39</v>
      </c>
      <c r="B37" s="95"/>
      <c r="C37" s="58">
        <f>SUM(C33:C36)</f>
        <v>218682000</v>
      </c>
      <c r="D37" s="58">
        <f>SUM(D33:D35)</f>
        <v>180281923</v>
      </c>
      <c r="E37" s="58">
        <f>SUM(E33:E36)</f>
        <v>180093594</v>
      </c>
      <c r="F37" s="86">
        <f>SUM(F33:F36)</f>
        <v>9688329</v>
      </c>
      <c r="G37" s="58">
        <f>SUM(G33:G35)</f>
        <v>0</v>
      </c>
      <c r="H37" s="58">
        <f>SUM(H33:H35)</f>
        <v>28900077</v>
      </c>
      <c r="I37" s="77"/>
      <c r="J37" s="70"/>
    </row>
    <row r="38" spans="1:10" ht="17.25" customHeight="1" x14ac:dyDescent="0.2">
      <c r="A38" s="92" t="s">
        <v>155</v>
      </c>
      <c r="B38" s="93"/>
      <c r="C38" s="73">
        <f t="shared" ref="C38:H38" si="5">C31+C37</f>
        <v>307836240</v>
      </c>
      <c r="D38" s="73">
        <f t="shared" si="5"/>
        <v>235906923</v>
      </c>
      <c r="E38" s="73">
        <f>E31+E37</f>
        <v>254578834</v>
      </c>
      <c r="F38" s="89">
        <f t="shared" si="5"/>
        <v>24357329</v>
      </c>
      <c r="G38" s="73">
        <f t="shared" si="5"/>
        <v>0</v>
      </c>
      <c r="H38" s="73">
        <f t="shared" si="5"/>
        <v>28900077</v>
      </c>
      <c r="I38" s="74"/>
      <c r="J38" s="74"/>
    </row>
    <row r="40" spans="1:10" ht="15" customHeight="1" x14ac:dyDescent="0.2">
      <c r="A40" s="66"/>
      <c r="B40" s="29" t="s">
        <v>42</v>
      </c>
      <c r="C40" s="30" t="s">
        <v>140</v>
      </c>
      <c r="D40" s="30"/>
      <c r="E40" s="78"/>
      <c r="G40" s="79"/>
      <c r="H40" s="79"/>
      <c r="I40" s="79"/>
      <c r="J40" s="79"/>
    </row>
    <row r="41" spans="1:10" ht="15.75" customHeight="1" x14ac:dyDescent="0.2">
      <c r="A41" s="67"/>
      <c r="B41" s="29" t="s">
        <v>43</v>
      </c>
      <c r="C41" s="91">
        <v>231301944.38999999</v>
      </c>
      <c r="D41" s="30"/>
      <c r="E41" s="87"/>
      <c r="F41" s="81"/>
      <c r="G41" s="79"/>
      <c r="H41" s="79"/>
      <c r="I41" s="79"/>
      <c r="J41" s="79"/>
    </row>
    <row r="42" spans="1:10" ht="15.75" customHeight="1" x14ac:dyDescent="0.2">
      <c r="A42" s="68"/>
      <c r="B42" s="29" t="s">
        <v>42</v>
      </c>
      <c r="C42" s="91">
        <v>45249500</v>
      </c>
      <c r="D42" s="30"/>
      <c r="E42" s="78"/>
      <c r="F42" s="81"/>
      <c r="G42" s="79"/>
      <c r="H42" s="55"/>
      <c r="I42" s="79"/>
      <c r="J42" s="79"/>
    </row>
    <row r="43" spans="1:10" ht="15.75" customHeight="1" x14ac:dyDescent="0.2">
      <c r="A43" s="68"/>
      <c r="B43" s="29" t="s">
        <v>163</v>
      </c>
      <c r="C43" s="91">
        <v>2384740</v>
      </c>
      <c r="D43" s="30"/>
      <c r="E43" s="78"/>
      <c r="F43" s="81"/>
      <c r="G43" s="79"/>
      <c r="H43" s="55"/>
      <c r="I43" s="79"/>
    </row>
    <row r="44" spans="1:10" x14ac:dyDescent="0.2">
      <c r="B44" s="29" t="s">
        <v>44</v>
      </c>
      <c r="C44" s="91">
        <f>+E38</f>
        <v>254578834</v>
      </c>
      <c r="D44" s="30"/>
      <c r="E44" s="78"/>
      <c r="F44" s="81"/>
      <c r="G44" s="79"/>
      <c r="I44" s="79"/>
      <c r="J44" s="79"/>
    </row>
    <row r="45" spans="1:10" x14ac:dyDescent="0.2">
      <c r="B45" s="29" t="s">
        <v>142</v>
      </c>
      <c r="C45" s="91">
        <f>C41+C42+C43-C44</f>
        <v>24357350.389999986</v>
      </c>
      <c r="D45" s="30"/>
      <c r="E45" s="82"/>
      <c r="F45" s="79"/>
      <c r="G45" s="79"/>
      <c r="H45" s="79"/>
      <c r="I45" s="79"/>
      <c r="J45" s="79"/>
    </row>
    <row r="46" spans="1:10" x14ac:dyDescent="0.2">
      <c r="C46" s="54"/>
      <c r="E46" s="69"/>
      <c r="F46" s="55"/>
    </row>
    <row r="47" spans="1:10" x14ac:dyDescent="0.2">
      <c r="C47" s="55"/>
      <c r="E47" s="50"/>
      <c r="F47" s="55"/>
    </row>
    <row r="48" spans="1:10" x14ac:dyDescent="0.2">
      <c r="D48" s="79"/>
      <c r="E48" s="50"/>
    </row>
    <row r="50" spans="3:5" x14ac:dyDescent="0.2">
      <c r="C50" s="55"/>
    </row>
    <row r="51" spans="3:5" x14ac:dyDescent="0.2">
      <c r="D51" s="55"/>
      <c r="E51" s="54"/>
    </row>
    <row r="61" spans="3:5" x14ac:dyDescent="0.2">
      <c r="E61" s="69"/>
    </row>
  </sheetData>
  <mergeCells count="13">
    <mergeCell ref="A18:J18"/>
    <mergeCell ref="A1:J2"/>
    <mergeCell ref="A5:J5"/>
    <mergeCell ref="A10:B10"/>
    <mergeCell ref="A11:J11"/>
    <mergeCell ref="A17:B17"/>
    <mergeCell ref="A38:B38"/>
    <mergeCell ref="A21:B21"/>
    <mergeCell ref="A22:J22"/>
    <mergeCell ref="A30:B30"/>
    <mergeCell ref="A31:B31"/>
    <mergeCell ref="A32:J32"/>
    <mergeCell ref="A37:B37"/>
  </mergeCells>
  <pageMargins left="0.25" right="0.25" top="0.75" bottom="0.75" header="0.3" footer="0.3"/>
  <pageSetup scale="71" orientation="landscape" r:id="rId1"/>
  <rowBreaks count="1" manualBreakCount="1">
    <brk id="45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2" sqref="A2"/>
    </sheetView>
  </sheetViews>
  <sheetFormatPr defaultRowHeight="11.25" x14ac:dyDescent="0.2"/>
  <cols>
    <col min="1" max="1" width="4" style="49" customWidth="1"/>
    <col min="2" max="2" width="37.140625" style="26" customWidth="1"/>
    <col min="3" max="3" width="13.28515625" style="26" customWidth="1"/>
    <col min="4" max="4" width="14" style="26" customWidth="1"/>
    <col min="5" max="5" width="17.5703125" style="53" customWidth="1"/>
    <col min="6" max="6" width="12.7109375" style="26" customWidth="1"/>
    <col min="7" max="7" width="38.42578125" style="49" customWidth="1"/>
    <col min="8" max="8" width="17.85546875" style="52" customWidth="1"/>
    <col min="9" max="9" width="10" style="25" bestFit="1" customWidth="1"/>
    <col min="10" max="10" width="13.7109375" style="26" customWidth="1"/>
    <col min="11" max="16384" width="9.140625" style="26"/>
  </cols>
  <sheetData>
    <row r="1" spans="1:8" ht="17.25" customHeight="1" x14ac:dyDescent="0.2">
      <c r="A1" s="107" t="s">
        <v>165</v>
      </c>
      <c r="B1" s="107"/>
      <c r="C1" s="107"/>
      <c r="D1" s="107"/>
      <c r="E1" s="107"/>
      <c r="F1" s="107"/>
      <c r="G1" s="107"/>
      <c r="H1" s="107"/>
    </row>
    <row r="2" spans="1:8" x14ac:dyDescent="0.2">
      <c r="A2" s="56" t="s">
        <v>6</v>
      </c>
      <c r="B2" s="56" t="s">
        <v>143</v>
      </c>
      <c r="C2" s="56" t="s">
        <v>123</v>
      </c>
      <c r="D2" s="56" t="s">
        <v>47</v>
      </c>
      <c r="E2" s="56" t="s">
        <v>37</v>
      </c>
      <c r="F2" s="56" t="s">
        <v>124</v>
      </c>
      <c r="G2" s="56" t="s">
        <v>125</v>
      </c>
      <c r="H2" s="56" t="s">
        <v>48</v>
      </c>
    </row>
    <row r="3" spans="1:8" x14ac:dyDescent="0.2">
      <c r="A3" s="57"/>
      <c r="B3" s="104" t="s">
        <v>133</v>
      </c>
      <c r="C3" s="105"/>
      <c r="D3" s="105"/>
      <c r="E3" s="105"/>
      <c r="F3" s="105"/>
      <c r="G3" s="105"/>
      <c r="H3" s="106"/>
    </row>
    <row r="4" spans="1:8" x14ac:dyDescent="0.2">
      <c r="A4" s="57">
        <v>1</v>
      </c>
      <c r="B4" s="29" t="s">
        <v>147</v>
      </c>
      <c r="C4" s="30">
        <v>19000000</v>
      </c>
      <c r="D4" s="30"/>
      <c r="E4" s="31">
        <v>9500000</v>
      </c>
      <c r="F4" s="32">
        <f>C4-E4</f>
        <v>9500000</v>
      </c>
      <c r="G4" s="33" t="s">
        <v>131</v>
      </c>
      <c r="H4" s="28" t="s">
        <v>144</v>
      </c>
    </row>
    <row r="5" spans="1:8" x14ac:dyDescent="0.2">
      <c r="A5" s="57">
        <v>2</v>
      </c>
      <c r="B5" s="29" t="s">
        <v>114</v>
      </c>
      <c r="C5" s="30">
        <v>54896000</v>
      </c>
      <c r="D5" s="30"/>
      <c r="E5" s="31"/>
      <c r="F5" s="32">
        <f t="shared" ref="F5:F7" si="0">C5-E5</f>
        <v>54896000</v>
      </c>
      <c r="G5" s="34" t="s">
        <v>145</v>
      </c>
      <c r="H5" s="28"/>
    </row>
    <row r="6" spans="1:8" x14ac:dyDescent="0.2">
      <c r="A6" s="57">
        <v>3</v>
      </c>
      <c r="B6" s="29" t="s">
        <v>117</v>
      </c>
      <c r="C6" s="30">
        <v>154286000</v>
      </c>
      <c r="D6" s="30"/>
      <c r="E6" s="31"/>
      <c r="F6" s="32">
        <f t="shared" si="0"/>
        <v>154286000</v>
      </c>
      <c r="G6" s="34" t="s">
        <v>145</v>
      </c>
      <c r="H6" s="28"/>
    </row>
    <row r="7" spans="1:8" x14ac:dyDescent="0.2">
      <c r="A7" s="57"/>
      <c r="B7" s="35" t="s">
        <v>39</v>
      </c>
      <c r="C7" s="36">
        <f>SUM(C4:C6)</f>
        <v>228182000</v>
      </c>
      <c r="D7" s="36"/>
      <c r="E7" s="37">
        <f>SUM(E4:E6)</f>
        <v>9500000</v>
      </c>
      <c r="F7" s="38">
        <f t="shared" si="0"/>
        <v>218682000</v>
      </c>
      <c r="G7" s="39"/>
      <c r="H7" s="40"/>
    </row>
    <row r="8" spans="1:8" x14ac:dyDescent="0.2">
      <c r="A8" s="57"/>
      <c r="B8" s="108" t="s">
        <v>134</v>
      </c>
      <c r="C8" s="109"/>
      <c r="D8" s="109"/>
      <c r="E8" s="109"/>
      <c r="F8" s="109"/>
      <c r="G8" s="109"/>
      <c r="H8" s="110"/>
    </row>
    <row r="9" spans="1:8" x14ac:dyDescent="0.2">
      <c r="A9" s="57">
        <v>1</v>
      </c>
      <c r="B9" s="29" t="s">
        <v>115</v>
      </c>
      <c r="C9" s="30">
        <v>13222500</v>
      </c>
      <c r="D9" s="30"/>
      <c r="E9" s="31">
        <f>189900+1067700+4872000+163750+60000+25000+720000+306000+34000+738620+95640+90000+10000+432000+48000+147440+90000+18900+12100+30150+3350+1681850+750419+173950+90000+10000+343577+147900+500000</f>
        <v>12852246</v>
      </c>
      <c r="F9" s="32">
        <f>C9-E9</f>
        <v>370254</v>
      </c>
      <c r="G9" s="33" t="s">
        <v>36</v>
      </c>
      <c r="H9" s="28" t="s">
        <v>124</v>
      </c>
    </row>
    <row r="10" spans="1:8" x14ac:dyDescent="0.2">
      <c r="A10" s="57">
        <v>2</v>
      </c>
      <c r="B10" s="29" t="s">
        <v>148</v>
      </c>
      <c r="C10" s="30">
        <v>5000000</v>
      </c>
      <c r="D10" s="30"/>
      <c r="E10" s="31">
        <v>2573900</v>
      </c>
      <c r="F10" s="32">
        <f t="shared" ref="F10:F16" si="1">C10-E10</f>
        <v>2426100</v>
      </c>
      <c r="G10" s="33" t="s">
        <v>36</v>
      </c>
      <c r="H10" s="28" t="s">
        <v>124</v>
      </c>
    </row>
    <row r="11" spans="1:8" x14ac:dyDescent="0.2">
      <c r="A11" s="57">
        <v>3</v>
      </c>
      <c r="B11" s="29" t="s">
        <v>116</v>
      </c>
      <c r="C11" s="30">
        <v>500000</v>
      </c>
      <c r="D11" s="30"/>
      <c r="E11" s="31"/>
      <c r="F11" s="32">
        <f t="shared" si="1"/>
        <v>500000</v>
      </c>
      <c r="G11" s="34" t="s">
        <v>145</v>
      </c>
      <c r="H11" s="28"/>
    </row>
    <row r="12" spans="1:8" x14ac:dyDescent="0.2">
      <c r="A12" s="57">
        <v>4</v>
      </c>
      <c r="B12" s="29" t="s">
        <v>149</v>
      </c>
      <c r="C12" s="30">
        <v>1000000</v>
      </c>
      <c r="D12" s="30"/>
      <c r="E12" s="31">
        <v>1000000</v>
      </c>
      <c r="F12" s="32">
        <f t="shared" si="1"/>
        <v>0</v>
      </c>
      <c r="G12" s="33" t="s">
        <v>36</v>
      </c>
      <c r="H12" s="28"/>
    </row>
    <row r="13" spans="1:8" x14ac:dyDescent="0.2">
      <c r="A13" s="57">
        <v>5</v>
      </c>
      <c r="B13" s="29" t="s">
        <v>150</v>
      </c>
      <c r="C13" s="30">
        <v>8947500</v>
      </c>
      <c r="D13" s="30"/>
      <c r="E13" s="31">
        <f>3375000+1125000+4447500</f>
        <v>8947500</v>
      </c>
      <c r="F13" s="32">
        <f t="shared" si="1"/>
        <v>0</v>
      </c>
      <c r="G13" s="33" t="s">
        <v>36</v>
      </c>
      <c r="H13" s="28"/>
    </row>
    <row r="14" spans="1:8" x14ac:dyDescent="0.2">
      <c r="A14" s="57">
        <v>6</v>
      </c>
      <c r="B14" s="29" t="s">
        <v>151</v>
      </c>
      <c r="C14" s="30">
        <v>1029600</v>
      </c>
      <c r="D14" s="30"/>
      <c r="E14" s="31">
        <f>718200+307800</f>
        <v>1026000</v>
      </c>
      <c r="F14" s="32">
        <f t="shared" si="1"/>
        <v>3600</v>
      </c>
      <c r="G14" s="33" t="s">
        <v>36</v>
      </c>
      <c r="H14" s="28" t="s">
        <v>124</v>
      </c>
    </row>
    <row r="15" spans="1:8" x14ac:dyDescent="0.2">
      <c r="A15" s="57"/>
      <c r="B15" s="35" t="s">
        <v>39</v>
      </c>
      <c r="C15" s="36">
        <f>SUM(C9:C14)</f>
        <v>29699600</v>
      </c>
      <c r="D15" s="36"/>
      <c r="E15" s="37">
        <f>SUM(E9:E14)</f>
        <v>26399646</v>
      </c>
      <c r="F15" s="38">
        <f t="shared" si="1"/>
        <v>3299954</v>
      </c>
      <c r="G15" s="39"/>
      <c r="H15" s="40"/>
    </row>
    <row r="16" spans="1:8" x14ac:dyDescent="0.2">
      <c r="A16" s="57"/>
      <c r="B16" s="41" t="s">
        <v>138</v>
      </c>
      <c r="C16" s="42">
        <f>+C15+C7</f>
        <v>257881600</v>
      </c>
      <c r="D16" s="42"/>
      <c r="E16" s="43">
        <f>+E15+E7</f>
        <v>35899646</v>
      </c>
      <c r="F16" s="44">
        <f t="shared" si="1"/>
        <v>221981954</v>
      </c>
      <c r="G16" s="45"/>
      <c r="H16" s="46"/>
    </row>
    <row r="17" spans="1:10" ht="10.5" customHeight="1" x14ac:dyDescent="0.2">
      <c r="A17" s="104" t="s">
        <v>154</v>
      </c>
      <c r="B17" s="105"/>
      <c r="C17" s="105"/>
      <c r="D17" s="105"/>
      <c r="E17" s="105"/>
      <c r="F17" s="105"/>
      <c r="G17" s="105"/>
      <c r="H17" s="106"/>
    </row>
    <row r="18" spans="1:10" x14ac:dyDescent="0.2">
      <c r="A18" s="57">
        <v>1</v>
      </c>
      <c r="B18" s="29" t="s">
        <v>152</v>
      </c>
      <c r="C18" s="30">
        <v>40000000</v>
      </c>
      <c r="D18" s="30"/>
      <c r="E18" s="31">
        <f>27600000+400000+12000000</f>
        <v>40000000</v>
      </c>
      <c r="F18" s="32">
        <f>C18-E18</f>
        <v>0</v>
      </c>
      <c r="G18" s="47" t="s">
        <v>132</v>
      </c>
      <c r="H18" s="28"/>
    </row>
    <row r="19" spans="1:10" x14ac:dyDescent="0.2">
      <c r="A19" s="28"/>
      <c r="B19" s="35" t="s">
        <v>15</v>
      </c>
      <c r="C19" s="36">
        <f>SUM(C18)</f>
        <v>40000000</v>
      </c>
      <c r="D19" s="36">
        <f t="shared" ref="D19" si="2">SUM(D18)</f>
        <v>0</v>
      </c>
      <c r="E19" s="36">
        <f t="shared" ref="E19" si="3">SUM(E18)</f>
        <v>40000000</v>
      </c>
      <c r="F19" s="36">
        <f>SUM(F18)</f>
        <v>0</v>
      </c>
      <c r="G19" s="48"/>
      <c r="H19" s="40"/>
    </row>
    <row r="20" spans="1:10" x14ac:dyDescent="0.2">
      <c r="A20" s="28"/>
      <c r="B20" s="108" t="s">
        <v>136</v>
      </c>
      <c r="C20" s="109"/>
      <c r="D20" s="109"/>
      <c r="E20" s="109"/>
      <c r="F20" s="32"/>
      <c r="G20" s="33"/>
      <c r="H20" s="28"/>
    </row>
    <row r="21" spans="1:10" x14ac:dyDescent="0.2">
      <c r="A21" s="57">
        <v>1</v>
      </c>
      <c r="B21" s="29" t="s">
        <v>153</v>
      </c>
      <c r="C21" s="30">
        <v>79896600</v>
      </c>
      <c r="D21" s="30"/>
      <c r="E21" s="31">
        <f>31409400+15000000+24874476+3612739</f>
        <v>74896615</v>
      </c>
      <c r="F21" s="32">
        <f>C21-E21</f>
        <v>4999985</v>
      </c>
      <c r="G21" s="33" t="s">
        <v>126</v>
      </c>
      <c r="H21" s="28" t="s">
        <v>124</v>
      </c>
      <c r="J21" s="47"/>
    </row>
    <row r="22" spans="1:10" x14ac:dyDescent="0.2">
      <c r="A22" s="57">
        <v>2</v>
      </c>
      <c r="B22" s="29" t="s">
        <v>118</v>
      </c>
      <c r="C22" s="30">
        <v>7632100</v>
      </c>
      <c r="D22" s="30"/>
      <c r="E22" s="31">
        <f>5514170+209880+1908016</f>
        <v>7632066</v>
      </c>
      <c r="F22" s="32">
        <f t="shared" ref="F22" si="4">C22-E22</f>
        <v>34</v>
      </c>
      <c r="G22" s="33" t="s">
        <v>127</v>
      </c>
      <c r="H22" s="28"/>
    </row>
    <row r="23" spans="1:10" x14ac:dyDescent="0.2">
      <c r="A23" s="28"/>
      <c r="B23" s="35" t="s">
        <v>15</v>
      </c>
      <c r="C23" s="36">
        <f>SUM(C21:C22)</f>
        <v>87528700</v>
      </c>
      <c r="D23" s="36">
        <f t="shared" ref="D23:E23" si="5">SUM(D21:D22)</f>
        <v>0</v>
      </c>
      <c r="E23" s="36">
        <f t="shared" si="5"/>
        <v>82528681</v>
      </c>
      <c r="F23" s="36">
        <f>SUM(F21:F22)</f>
        <v>5000019</v>
      </c>
      <c r="G23" s="39"/>
      <c r="H23" s="40"/>
    </row>
    <row r="24" spans="1:10" x14ac:dyDescent="0.2">
      <c r="A24" s="28"/>
      <c r="B24" s="104" t="s">
        <v>135</v>
      </c>
      <c r="C24" s="105"/>
      <c r="D24" s="105"/>
      <c r="E24" s="105"/>
      <c r="F24" s="105"/>
      <c r="G24" s="105"/>
      <c r="H24" s="106"/>
    </row>
    <row r="25" spans="1:10" x14ac:dyDescent="0.2">
      <c r="A25" s="57">
        <v>1</v>
      </c>
      <c r="B25" s="29" t="s">
        <v>119</v>
      </c>
      <c r="C25" s="30">
        <v>1650000</v>
      </c>
      <c r="D25" s="30"/>
      <c r="E25" s="31">
        <f>1320000+320925+9075</f>
        <v>1650000</v>
      </c>
      <c r="F25" s="32">
        <f>C25-E25</f>
        <v>0</v>
      </c>
      <c r="G25" s="33" t="s">
        <v>128</v>
      </c>
      <c r="H25" s="28"/>
    </row>
    <row r="26" spans="1:10" x14ac:dyDescent="0.2">
      <c r="A26" s="57">
        <v>2</v>
      </c>
      <c r="B26" s="29" t="s">
        <v>120</v>
      </c>
      <c r="C26" s="30">
        <v>6000000</v>
      </c>
      <c r="D26" s="30"/>
      <c r="E26" s="31">
        <f>4800000+1188000+12000</f>
        <v>6000000</v>
      </c>
      <c r="F26" s="32">
        <f t="shared" ref="F26:F27" si="6">C26-E26</f>
        <v>0</v>
      </c>
      <c r="G26" s="33" t="s">
        <v>129</v>
      </c>
      <c r="H26" s="28"/>
    </row>
    <row r="27" spans="1:10" x14ac:dyDescent="0.2">
      <c r="A27" s="57">
        <v>3</v>
      </c>
      <c r="B27" s="29" t="s">
        <v>121</v>
      </c>
      <c r="C27" s="30">
        <v>3774000</v>
      </c>
      <c r="D27" s="30"/>
      <c r="E27" s="31">
        <f>3019232+735938+18870</f>
        <v>3774040</v>
      </c>
      <c r="F27" s="32">
        <f t="shared" si="6"/>
        <v>-40</v>
      </c>
      <c r="G27" s="33" t="s">
        <v>130</v>
      </c>
      <c r="H27" s="28"/>
    </row>
    <row r="28" spans="1:10" x14ac:dyDescent="0.2">
      <c r="A28" s="28"/>
      <c r="B28" s="35" t="s">
        <v>15</v>
      </c>
      <c r="C28" s="36">
        <f>SUM(C25:C27)</f>
        <v>11424000</v>
      </c>
      <c r="D28" s="36">
        <f t="shared" ref="D28:F28" si="7">SUM(D25:D27)</f>
        <v>0</v>
      </c>
      <c r="E28" s="36">
        <f t="shared" si="7"/>
        <v>11424040</v>
      </c>
      <c r="F28" s="36">
        <f t="shared" si="7"/>
        <v>-40</v>
      </c>
      <c r="G28" s="39"/>
      <c r="H28" s="40"/>
    </row>
    <row r="29" spans="1:10" x14ac:dyDescent="0.2">
      <c r="A29" s="28"/>
      <c r="B29" s="104" t="s">
        <v>134</v>
      </c>
      <c r="C29" s="105"/>
      <c r="D29" s="105"/>
      <c r="E29" s="105"/>
      <c r="F29" s="105"/>
      <c r="G29" s="105"/>
      <c r="H29" s="106"/>
    </row>
    <row r="30" spans="1:10" x14ac:dyDescent="0.2">
      <c r="A30" s="57">
        <v>1</v>
      </c>
      <c r="B30" s="29" t="s">
        <v>149</v>
      </c>
      <c r="C30" s="30">
        <v>1231800</v>
      </c>
      <c r="D30" s="30"/>
      <c r="E30" s="31">
        <f>1231770</f>
        <v>1231770</v>
      </c>
      <c r="F30" s="32">
        <f>C30-E30</f>
        <v>30</v>
      </c>
      <c r="G30" s="33" t="s">
        <v>36</v>
      </c>
      <c r="H30" s="28"/>
    </row>
    <row r="31" spans="1:10" x14ac:dyDescent="0.2">
      <c r="A31" s="28"/>
      <c r="B31" s="35" t="s">
        <v>15</v>
      </c>
      <c r="C31" s="36">
        <f>SUM(C30)</f>
        <v>1231800</v>
      </c>
      <c r="D31" s="36">
        <f t="shared" ref="D31" si="8">SUM(D30)</f>
        <v>0</v>
      </c>
      <c r="E31" s="36">
        <f t="shared" ref="E31" si="9">SUM(E30)</f>
        <v>1231770</v>
      </c>
      <c r="F31" s="36">
        <f>SUM(F30)</f>
        <v>30</v>
      </c>
      <c r="G31" s="39"/>
      <c r="H31" s="40"/>
    </row>
    <row r="32" spans="1:10" x14ac:dyDescent="0.2">
      <c r="A32" s="28"/>
      <c r="B32" s="104" t="s">
        <v>137</v>
      </c>
      <c r="C32" s="105"/>
      <c r="D32" s="105"/>
      <c r="E32" s="105"/>
      <c r="F32" s="105"/>
      <c r="G32" s="105"/>
      <c r="H32" s="106"/>
    </row>
    <row r="33" spans="1:8" x14ac:dyDescent="0.2">
      <c r="A33" s="57">
        <v>1</v>
      </c>
      <c r="B33" s="29" t="s">
        <v>122</v>
      </c>
      <c r="C33" s="30">
        <v>4320000</v>
      </c>
      <c r="D33" s="30"/>
      <c r="E33" s="31"/>
      <c r="F33" s="32">
        <f>C33-E33</f>
        <v>4320000</v>
      </c>
      <c r="G33" s="33"/>
      <c r="H33" s="28" t="s">
        <v>146</v>
      </c>
    </row>
    <row r="34" spans="1:8" x14ac:dyDescent="0.2">
      <c r="A34" s="28"/>
      <c r="B34" s="35" t="s">
        <v>15</v>
      </c>
      <c r="C34" s="36">
        <f>SUM(C33)</f>
        <v>4320000</v>
      </c>
      <c r="D34" s="36">
        <f t="shared" ref="D34:E34" si="10">SUM(D33)</f>
        <v>0</v>
      </c>
      <c r="E34" s="36">
        <f t="shared" si="10"/>
        <v>0</v>
      </c>
      <c r="F34" s="36">
        <f>SUM(F33)</f>
        <v>4320000</v>
      </c>
      <c r="G34" s="39"/>
      <c r="H34" s="40"/>
    </row>
    <row r="35" spans="1:8" x14ac:dyDescent="0.2">
      <c r="A35" s="28"/>
      <c r="B35" s="41" t="s">
        <v>139</v>
      </c>
      <c r="C35" s="44">
        <f>C7+C15+C19+C23+C28+C31+C34</f>
        <v>402386100</v>
      </c>
      <c r="D35" s="44">
        <f>D7+D15+D19+D23+D28+D31+D34</f>
        <v>0</v>
      </c>
      <c r="E35" s="44">
        <f>E7+E15+E19+E23+E28+E31+E34</f>
        <v>171084137</v>
      </c>
      <c r="F35" s="44">
        <f>F7+F15+F19+F23+F28+F31+F34</f>
        <v>231301963</v>
      </c>
      <c r="G35" s="46"/>
      <c r="H35" s="46"/>
    </row>
    <row r="36" spans="1:8" x14ac:dyDescent="0.2">
      <c r="C36" s="50"/>
      <c r="D36" s="50"/>
      <c r="E36" s="51"/>
    </row>
    <row r="37" spans="1:8" x14ac:dyDescent="0.2">
      <c r="C37" s="50"/>
      <c r="D37" s="50"/>
    </row>
    <row r="38" spans="1:8" ht="15" customHeight="1" x14ac:dyDescent="0.2">
      <c r="B38" s="29" t="s">
        <v>42</v>
      </c>
      <c r="C38" s="30" t="s">
        <v>140</v>
      </c>
      <c r="D38" s="30"/>
      <c r="E38" s="102" t="s">
        <v>156</v>
      </c>
      <c r="F38" s="103"/>
      <c r="G38" s="103"/>
      <c r="H38" s="103"/>
    </row>
    <row r="39" spans="1:8" x14ac:dyDescent="0.2">
      <c r="B39" s="29" t="s">
        <v>43</v>
      </c>
      <c r="C39" s="30">
        <v>13493602</v>
      </c>
      <c r="D39" s="30"/>
      <c r="E39" s="102"/>
      <c r="F39" s="103"/>
      <c r="G39" s="103"/>
      <c r="H39" s="103"/>
    </row>
    <row r="40" spans="1:8" x14ac:dyDescent="0.2">
      <c r="B40" s="29" t="s">
        <v>42</v>
      </c>
      <c r="C40" s="30">
        <f>27100000+36593213.56+50000000+100000000+50000000+72372758.69+32957127.75</f>
        <v>369023100</v>
      </c>
      <c r="D40" s="30"/>
      <c r="E40" s="102"/>
      <c r="F40" s="103"/>
      <c r="G40" s="103"/>
      <c r="H40" s="103"/>
    </row>
    <row r="41" spans="1:8" x14ac:dyDescent="0.2">
      <c r="B41" s="29" t="s">
        <v>141</v>
      </c>
      <c r="C41" s="30">
        <v>19869379.379999999</v>
      </c>
      <c r="D41" s="30"/>
      <c r="E41" s="102"/>
      <c r="F41" s="103"/>
      <c r="G41" s="103"/>
      <c r="H41" s="103"/>
    </row>
    <row r="42" spans="1:8" x14ac:dyDescent="0.2">
      <c r="B42" s="29" t="s">
        <v>44</v>
      </c>
      <c r="C42" s="30">
        <v>171084137</v>
      </c>
      <c r="D42" s="30"/>
      <c r="E42" s="102"/>
      <c r="F42" s="103"/>
      <c r="G42" s="103"/>
      <c r="H42" s="103"/>
    </row>
    <row r="43" spans="1:8" x14ac:dyDescent="0.2">
      <c r="B43" s="29" t="s">
        <v>142</v>
      </c>
      <c r="C43" s="30">
        <f>C39+C40+C41-C42</f>
        <v>231301944.38</v>
      </c>
      <c r="D43" s="30"/>
      <c r="E43" s="102"/>
      <c r="F43" s="103"/>
      <c r="G43" s="103"/>
      <c r="H43" s="103"/>
    </row>
    <row r="44" spans="1:8" x14ac:dyDescent="0.2">
      <c r="C44" s="50"/>
      <c r="D44" s="50"/>
    </row>
    <row r="45" spans="1:8" x14ac:dyDescent="0.2">
      <c r="C45" s="50"/>
      <c r="D45" s="50"/>
    </row>
    <row r="46" spans="1:8" x14ac:dyDescent="0.2">
      <c r="C46" s="50"/>
      <c r="D46" s="54"/>
    </row>
    <row r="47" spans="1:8" x14ac:dyDescent="0.2">
      <c r="D47" s="54"/>
    </row>
    <row r="48" spans="1:8" x14ac:dyDescent="0.2">
      <c r="D48" s="50"/>
      <c r="F48" s="55"/>
      <c r="G48" s="47"/>
    </row>
    <row r="49" spans="4:7" x14ac:dyDescent="0.2">
      <c r="D49" s="55"/>
      <c r="F49" s="50"/>
      <c r="G49" s="47"/>
    </row>
    <row r="50" spans="4:7" x14ac:dyDescent="0.2">
      <c r="D50" s="55"/>
      <c r="G50" s="47"/>
    </row>
    <row r="51" spans="4:7" x14ac:dyDescent="0.2">
      <c r="D51" s="55"/>
      <c r="G51" s="47"/>
    </row>
  </sheetData>
  <mergeCells count="9">
    <mergeCell ref="E38:H43"/>
    <mergeCell ref="B32:H32"/>
    <mergeCell ref="A1:H1"/>
    <mergeCell ref="B3:H3"/>
    <mergeCell ref="B8:H8"/>
    <mergeCell ref="A17:H17"/>
    <mergeCell ref="B24:H24"/>
    <mergeCell ref="B29:H29"/>
    <mergeCell ref="B20:E20"/>
  </mergeCells>
  <pageMargins left="0.7" right="0.7" top="0.75" bottom="0.75" header="0.3" footer="0.3"/>
  <pageSetup scale="76" orientation="landscape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6" workbookViewId="0">
      <selection activeCell="P7" sqref="P7"/>
    </sheetView>
  </sheetViews>
  <sheetFormatPr defaultColWidth="15.140625" defaultRowHeight="15" x14ac:dyDescent="0.25"/>
  <cols>
    <col min="1" max="1" width="2.42578125" style="4" customWidth="1"/>
    <col min="2" max="2" width="18.42578125" style="4" customWidth="1"/>
    <col min="3" max="3" width="13" style="4" customWidth="1"/>
    <col min="4" max="4" width="9.28515625" style="4" customWidth="1"/>
    <col min="5" max="5" width="9.42578125" style="4" customWidth="1"/>
    <col min="6" max="6" width="15.42578125" style="4" customWidth="1"/>
    <col min="7" max="7" width="9.42578125" style="4" customWidth="1"/>
    <col min="8" max="8" width="10.85546875" style="4" customWidth="1"/>
    <col min="9" max="9" width="9.140625" style="4" customWidth="1"/>
    <col min="10" max="10" width="8.85546875" style="4" customWidth="1"/>
    <col min="11" max="11" width="12" style="4" customWidth="1"/>
    <col min="12" max="12" width="13" style="4" customWidth="1"/>
    <col min="13" max="13" width="10.7109375" style="4" customWidth="1"/>
    <col min="14" max="23" width="8" style="4" customWidth="1"/>
    <col min="24" max="26" width="7" style="4" customWidth="1"/>
    <col min="27" max="16384" width="15.140625" style="4"/>
  </cols>
  <sheetData>
    <row r="1" spans="1:26" ht="17.25" customHeight="1" x14ac:dyDescent="0.25">
      <c r="A1" s="1" t="s">
        <v>50</v>
      </c>
      <c r="B1" s="114" t="s">
        <v>51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9.75" customHeight="1" x14ac:dyDescent="0.25">
      <c r="A2" s="1" t="s">
        <v>52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116" t="s">
        <v>53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54.75" customHeight="1" x14ac:dyDescent="0.25">
      <c r="A4" s="5" t="s">
        <v>6</v>
      </c>
      <c r="B4" s="5" t="s">
        <v>54</v>
      </c>
      <c r="C4" s="5" t="s">
        <v>55</v>
      </c>
      <c r="D4" s="5" t="s">
        <v>47</v>
      </c>
      <c r="E4" s="5" t="s">
        <v>37</v>
      </c>
      <c r="F4" s="5" t="s">
        <v>56</v>
      </c>
      <c r="G4" s="5" t="s">
        <v>57</v>
      </c>
      <c r="H4" s="5" t="s">
        <v>58</v>
      </c>
      <c r="I4" s="5" t="s">
        <v>59</v>
      </c>
      <c r="J4" s="5" t="s">
        <v>60</v>
      </c>
      <c r="K4" s="5" t="s">
        <v>61</v>
      </c>
      <c r="L4" s="5" t="s">
        <v>62</v>
      </c>
      <c r="M4" s="6" t="s">
        <v>48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 x14ac:dyDescent="0.25">
      <c r="A5" s="111" t="s">
        <v>63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3"/>
      <c r="M5" s="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3" customHeight="1" x14ac:dyDescent="0.25">
      <c r="A6" s="5">
        <v>1</v>
      </c>
      <c r="B6" s="8" t="s">
        <v>64</v>
      </c>
      <c r="C6" s="9">
        <v>5000000</v>
      </c>
      <c r="D6" s="9">
        <v>5000000</v>
      </c>
      <c r="E6" s="9">
        <v>5000000</v>
      </c>
      <c r="F6" s="5" t="s">
        <v>38</v>
      </c>
      <c r="G6" s="5"/>
      <c r="H6" s="5" t="s">
        <v>38</v>
      </c>
      <c r="I6" s="5" t="s">
        <v>65</v>
      </c>
      <c r="J6" s="5" t="s">
        <v>66</v>
      </c>
      <c r="K6" s="5" t="s">
        <v>67</v>
      </c>
      <c r="L6" s="5" t="s">
        <v>68</v>
      </c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5.25" customHeight="1" x14ac:dyDescent="0.25">
      <c r="A7" s="5">
        <v>2</v>
      </c>
      <c r="B7" s="8" t="s">
        <v>69</v>
      </c>
      <c r="C7" s="9">
        <v>38794100</v>
      </c>
      <c r="D7" s="9">
        <v>38160334</v>
      </c>
      <c r="E7" s="9">
        <f>22896200+7632066</f>
        <v>30528266</v>
      </c>
      <c r="F7" s="9">
        <f t="shared" ref="F7:F8" si="0">D7-E7</f>
        <v>7632068</v>
      </c>
      <c r="G7" s="5"/>
      <c r="H7" s="5"/>
      <c r="I7" s="5"/>
      <c r="J7" s="5"/>
      <c r="K7" s="5" t="s">
        <v>70</v>
      </c>
      <c r="L7" s="5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4.5" customHeight="1" x14ac:dyDescent="0.25">
      <c r="A8" s="5">
        <v>3</v>
      </c>
      <c r="B8" s="8" t="s">
        <v>71</v>
      </c>
      <c r="C8" s="9">
        <v>9900000</v>
      </c>
      <c r="D8" s="9">
        <v>9900000</v>
      </c>
      <c r="E8" s="9">
        <f>6930000+2545700+387000+37300</f>
        <v>9900000</v>
      </c>
      <c r="F8" s="9">
        <f t="shared" si="0"/>
        <v>0</v>
      </c>
      <c r="G8" s="9">
        <v>37300</v>
      </c>
      <c r="H8" s="5"/>
      <c r="I8" s="5"/>
      <c r="J8" s="5"/>
      <c r="K8" s="5" t="s">
        <v>70</v>
      </c>
      <c r="L8" s="5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5"/>
      <c r="B9" s="5"/>
      <c r="C9" s="9">
        <f t="shared" ref="C9:E9" si="1">SUM(C6:C8)</f>
        <v>53694100</v>
      </c>
      <c r="D9" s="9">
        <f t="shared" si="1"/>
        <v>53060334</v>
      </c>
      <c r="E9" s="9">
        <f t="shared" si="1"/>
        <v>45428266</v>
      </c>
      <c r="F9" s="9">
        <f>SUM(F7:F8)</f>
        <v>7632068</v>
      </c>
      <c r="G9" s="5"/>
      <c r="H9" s="5"/>
      <c r="I9" s="5"/>
      <c r="J9" s="5"/>
      <c r="K9" s="5"/>
      <c r="L9" s="5"/>
      <c r="M9" s="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5">
      <c r="A10" s="111" t="s">
        <v>72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3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9.75" customHeight="1" x14ac:dyDescent="0.25">
      <c r="A11" s="5">
        <v>1</v>
      </c>
      <c r="B11" s="8" t="s">
        <v>73</v>
      </c>
      <c r="C11" s="9">
        <v>10000000</v>
      </c>
      <c r="D11" s="9">
        <v>9893803</v>
      </c>
      <c r="E11" s="9">
        <v>9893803</v>
      </c>
      <c r="F11" s="5"/>
      <c r="G11" s="5"/>
      <c r="H11" s="9">
        <v>106197</v>
      </c>
      <c r="I11" s="5" t="s">
        <v>74</v>
      </c>
      <c r="J11" s="5" t="s">
        <v>75</v>
      </c>
      <c r="K11" s="5" t="s">
        <v>76</v>
      </c>
      <c r="L11" s="5" t="s">
        <v>75</v>
      </c>
      <c r="M11" s="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43.5" customHeight="1" x14ac:dyDescent="0.25">
      <c r="A12" s="5">
        <v>2</v>
      </c>
      <c r="B12" s="8" t="s">
        <v>77</v>
      </c>
      <c r="C12" s="9">
        <v>2000000</v>
      </c>
      <c r="D12" s="9">
        <v>2000000</v>
      </c>
      <c r="E12" s="9">
        <f>6000+1994000</f>
        <v>2000000</v>
      </c>
      <c r="F12" s="10"/>
      <c r="G12" s="11">
        <v>6000</v>
      </c>
      <c r="H12" s="7"/>
      <c r="I12" s="5" t="s">
        <v>78</v>
      </c>
      <c r="J12" s="5" t="s">
        <v>79</v>
      </c>
      <c r="K12" s="5" t="s">
        <v>80</v>
      </c>
      <c r="L12" s="5" t="s">
        <v>81</v>
      </c>
      <c r="M12" s="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5" customHeight="1" x14ac:dyDescent="0.25">
      <c r="A13" s="5">
        <v>3</v>
      </c>
      <c r="B13" s="8" t="s">
        <v>82</v>
      </c>
      <c r="C13" s="9">
        <v>5162400</v>
      </c>
      <c r="D13" s="9">
        <v>5162400</v>
      </c>
      <c r="E13" s="9">
        <f>72274+5090126</f>
        <v>5162400</v>
      </c>
      <c r="F13" s="12"/>
      <c r="G13" s="9">
        <v>72274</v>
      </c>
      <c r="H13" s="13"/>
      <c r="I13" s="5" t="s">
        <v>78</v>
      </c>
      <c r="J13" s="5" t="s">
        <v>68</v>
      </c>
      <c r="K13" s="5" t="s">
        <v>80</v>
      </c>
      <c r="L13" s="5" t="s">
        <v>83</v>
      </c>
      <c r="M13" s="7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4.5" customHeight="1" x14ac:dyDescent="0.25">
      <c r="A14" s="5">
        <v>4</v>
      </c>
      <c r="B14" s="14" t="s">
        <v>84</v>
      </c>
      <c r="C14" s="9">
        <v>3774000</v>
      </c>
      <c r="D14" s="9">
        <v>3774000</v>
      </c>
      <c r="E14" s="9"/>
      <c r="F14" s="12"/>
      <c r="G14" s="9"/>
      <c r="H14" s="13"/>
      <c r="I14" s="5"/>
      <c r="J14" s="5"/>
      <c r="K14" s="5"/>
      <c r="L14" s="5"/>
      <c r="M14" s="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8.25" customHeight="1" x14ac:dyDescent="0.25">
      <c r="A15" s="5">
        <v>5</v>
      </c>
      <c r="B15" s="14" t="s">
        <v>85</v>
      </c>
      <c r="C15" s="9">
        <v>1700000</v>
      </c>
      <c r="D15" s="9">
        <v>1700000</v>
      </c>
      <c r="E15" s="9"/>
      <c r="F15" s="12"/>
      <c r="G15" s="9"/>
      <c r="H15" s="13"/>
      <c r="I15" s="5"/>
      <c r="J15" s="5"/>
      <c r="K15" s="5"/>
      <c r="L15" s="5"/>
      <c r="M15" s="7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117" t="s">
        <v>86</v>
      </c>
      <c r="B16" s="113"/>
      <c r="C16" s="9">
        <f t="shared" ref="C16:D16" si="2">SUM(C11:C15)</f>
        <v>22636400</v>
      </c>
      <c r="D16" s="9">
        <f t="shared" si="2"/>
        <v>22530203</v>
      </c>
      <c r="E16" s="9">
        <f>SUM(E11:E13)</f>
        <v>17056203</v>
      </c>
      <c r="F16" s="5"/>
      <c r="G16" s="9">
        <f>SUM(G12:G13)</f>
        <v>78274</v>
      </c>
      <c r="H16" s="9">
        <f>SUM(H11:H13)</f>
        <v>106197</v>
      </c>
      <c r="I16" s="5"/>
      <c r="J16" s="5"/>
      <c r="K16" s="5"/>
      <c r="L16" s="5"/>
      <c r="M16" s="7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5">
      <c r="A17" s="111" t="s">
        <v>87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3"/>
      <c r="M17" s="7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7" customHeight="1" x14ac:dyDescent="0.25">
      <c r="A18" s="5">
        <v>1</v>
      </c>
      <c r="B18" s="8" t="s">
        <v>88</v>
      </c>
      <c r="C18" s="9">
        <v>13500000</v>
      </c>
      <c r="D18" s="9">
        <v>13500000</v>
      </c>
      <c r="E18" s="9">
        <v>12150000</v>
      </c>
      <c r="F18" s="15"/>
      <c r="G18" s="9">
        <v>1350000</v>
      </c>
      <c r="H18" s="15"/>
      <c r="I18" s="5" t="s">
        <v>89</v>
      </c>
      <c r="J18" s="5" t="s">
        <v>90</v>
      </c>
      <c r="K18" s="5" t="s">
        <v>91</v>
      </c>
      <c r="L18" s="5" t="s">
        <v>92</v>
      </c>
      <c r="M18" s="7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43.5" customHeight="1" x14ac:dyDescent="0.25">
      <c r="A19" s="5">
        <v>2</v>
      </c>
      <c r="B19" s="8" t="s">
        <v>93</v>
      </c>
      <c r="C19" s="9">
        <v>14650000</v>
      </c>
      <c r="D19" s="9">
        <v>14650000</v>
      </c>
      <c r="E19" s="9">
        <v>13185000</v>
      </c>
      <c r="F19" s="5"/>
      <c r="G19" s="9">
        <v>1465000</v>
      </c>
      <c r="H19" s="5"/>
      <c r="I19" s="5" t="s">
        <v>94</v>
      </c>
      <c r="J19" s="5" t="s">
        <v>95</v>
      </c>
      <c r="K19" s="5" t="s">
        <v>91</v>
      </c>
      <c r="L19" s="5" t="s">
        <v>92</v>
      </c>
      <c r="M19" s="7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5"/>
      <c r="B20" s="8"/>
      <c r="C20" s="9">
        <f t="shared" ref="C20:E20" si="3">SUM(C18:C19)</f>
        <v>28150000</v>
      </c>
      <c r="D20" s="9">
        <f t="shared" si="3"/>
        <v>28150000</v>
      </c>
      <c r="E20" s="9">
        <f t="shared" si="3"/>
        <v>25335000</v>
      </c>
      <c r="F20" s="5"/>
      <c r="G20" s="9">
        <f>SUM(G18:G19)</f>
        <v>2815000</v>
      </c>
      <c r="H20" s="5"/>
      <c r="I20" s="5"/>
      <c r="J20" s="5"/>
      <c r="K20" s="5"/>
      <c r="L20" s="5"/>
      <c r="M20" s="7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25">
      <c r="A21" s="111" t="s">
        <v>96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3"/>
      <c r="M21" s="7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2.5" customHeight="1" x14ac:dyDescent="0.25">
      <c r="A22" s="5">
        <v>1</v>
      </c>
      <c r="B22" s="8" t="s">
        <v>97</v>
      </c>
      <c r="C22" s="9">
        <v>7500000</v>
      </c>
      <c r="D22" s="9">
        <v>7500000</v>
      </c>
      <c r="E22" s="9">
        <f>2000000+1691000</f>
        <v>3691000</v>
      </c>
      <c r="F22" s="9">
        <f t="shared" ref="F22:F23" si="4">D22-E22</f>
        <v>3809000</v>
      </c>
      <c r="G22" s="9"/>
      <c r="H22" s="5"/>
      <c r="I22" s="5"/>
      <c r="J22" s="5"/>
      <c r="K22" s="5" t="s">
        <v>36</v>
      </c>
      <c r="L22" s="5"/>
      <c r="M22" s="7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42.75" customHeight="1" x14ac:dyDescent="0.25">
      <c r="A23" s="5">
        <v>2</v>
      </c>
      <c r="B23" s="8" t="s">
        <v>98</v>
      </c>
      <c r="C23" s="9">
        <v>7500000</v>
      </c>
      <c r="D23" s="9">
        <v>7500000</v>
      </c>
      <c r="E23" s="9">
        <f>1125000+3145800+637400+700000</f>
        <v>5608200</v>
      </c>
      <c r="F23" s="9">
        <f t="shared" si="4"/>
        <v>1891800</v>
      </c>
      <c r="G23" s="9"/>
      <c r="H23" s="5"/>
      <c r="I23" s="5" t="s">
        <v>99</v>
      </c>
      <c r="J23" s="5" t="s">
        <v>100</v>
      </c>
      <c r="K23" s="5" t="s">
        <v>101</v>
      </c>
      <c r="L23" s="5"/>
      <c r="M23" s="7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51.75" customHeight="1" x14ac:dyDescent="0.25">
      <c r="A24" s="5">
        <v>3</v>
      </c>
      <c r="B24" s="8" t="s">
        <v>102</v>
      </c>
      <c r="C24" s="9">
        <v>400000</v>
      </c>
      <c r="D24" s="9">
        <v>400000</v>
      </c>
      <c r="E24" s="9">
        <v>400000</v>
      </c>
      <c r="F24" s="5"/>
      <c r="G24" s="5"/>
      <c r="H24" s="5"/>
      <c r="I24" s="5">
        <v>2014.03</v>
      </c>
      <c r="J24" s="5">
        <v>2015.03</v>
      </c>
      <c r="K24" s="5" t="s">
        <v>103</v>
      </c>
      <c r="L24" s="5"/>
      <c r="M24" s="5" t="s">
        <v>104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8" customHeight="1" x14ac:dyDescent="0.25">
      <c r="A25" s="6">
        <v>4</v>
      </c>
      <c r="B25" s="16" t="s">
        <v>105</v>
      </c>
      <c r="C25" s="9">
        <v>3000000</v>
      </c>
      <c r="D25" s="17">
        <v>3000000</v>
      </c>
      <c r="E25" s="17">
        <v>3000000</v>
      </c>
      <c r="F25" s="18"/>
      <c r="G25" s="18"/>
      <c r="H25" s="18"/>
      <c r="I25" s="18"/>
      <c r="J25" s="18"/>
      <c r="K25" s="5" t="s">
        <v>101</v>
      </c>
      <c r="L25" s="18"/>
      <c r="M25" s="5" t="s">
        <v>104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3.75" customHeight="1" x14ac:dyDescent="0.25">
      <c r="A26" s="7">
        <v>5</v>
      </c>
      <c r="B26" s="16" t="s">
        <v>106</v>
      </c>
      <c r="C26" s="19">
        <v>628166000</v>
      </c>
      <c r="D26" s="20">
        <v>628166000</v>
      </c>
      <c r="E26" s="20">
        <f>40639000+351088625+4400000+56237329+43762671+11118072+30000000+1445688</f>
        <v>538691385</v>
      </c>
      <c r="F26" s="20">
        <f>D26-E26</f>
        <v>89474615</v>
      </c>
      <c r="G26" s="21"/>
      <c r="H26" s="7"/>
      <c r="I26" s="7"/>
      <c r="J26" s="7"/>
      <c r="K26" s="5" t="s">
        <v>107</v>
      </c>
      <c r="L26" s="7"/>
      <c r="M26" s="7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7"/>
      <c r="B27" s="7" t="s">
        <v>86</v>
      </c>
      <c r="C27" s="22">
        <f t="shared" ref="C27:H27" si="5">SUM(C22:C26)</f>
        <v>646566000</v>
      </c>
      <c r="D27" s="22">
        <f t="shared" si="5"/>
        <v>646566000</v>
      </c>
      <c r="E27" s="22">
        <f t="shared" si="5"/>
        <v>551390585</v>
      </c>
      <c r="F27" s="22">
        <f t="shared" si="5"/>
        <v>95175415</v>
      </c>
      <c r="G27" s="22">
        <f t="shared" si="5"/>
        <v>0</v>
      </c>
      <c r="H27" s="22">
        <f t="shared" si="5"/>
        <v>0</v>
      </c>
      <c r="I27" s="7"/>
      <c r="J27" s="7"/>
      <c r="K27" s="7"/>
      <c r="L27" s="7"/>
      <c r="M27" s="7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7"/>
      <c r="B28" s="7" t="s">
        <v>39</v>
      </c>
      <c r="C28" s="22">
        <f t="shared" ref="C28:H28" si="6">C9+C16+C20+C27</f>
        <v>751046500</v>
      </c>
      <c r="D28" s="22">
        <f t="shared" si="6"/>
        <v>750306537</v>
      </c>
      <c r="E28" s="22">
        <f t="shared" si="6"/>
        <v>639210054</v>
      </c>
      <c r="F28" s="22">
        <f t="shared" si="6"/>
        <v>102807483</v>
      </c>
      <c r="G28" s="22">
        <f t="shared" si="6"/>
        <v>2893274</v>
      </c>
      <c r="H28" s="22">
        <f t="shared" si="6"/>
        <v>106197</v>
      </c>
      <c r="I28" s="7"/>
      <c r="J28" s="7"/>
      <c r="K28" s="7"/>
      <c r="L28" s="7"/>
      <c r="M28" s="7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3"/>
      <c r="B29" s="3"/>
      <c r="C29" s="3"/>
      <c r="D29" s="3"/>
      <c r="E29" s="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3"/>
      <c r="B30" s="3"/>
      <c r="C30" s="23"/>
      <c r="D30" s="23"/>
      <c r="E30" s="23" t="s">
        <v>108</v>
      </c>
      <c r="F30" s="23"/>
      <c r="G30" s="23"/>
      <c r="H30" s="23"/>
      <c r="I30" s="23"/>
      <c r="J30" s="23"/>
      <c r="K30" s="2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3"/>
      <c r="B31" s="3"/>
      <c r="C31" s="23" t="s">
        <v>109</v>
      </c>
      <c r="D31" s="23"/>
      <c r="E31" s="23"/>
      <c r="F31" s="23"/>
      <c r="G31" s="23"/>
      <c r="H31" s="23"/>
      <c r="I31" s="23"/>
      <c r="J31" s="23"/>
      <c r="K31" s="2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3"/>
      <c r="B32" s="3"/>
      <c r="C32" s="23"/>
      <c r="D32" s="23" t="s">
        <v>110</v>
      </c>
      <c r="E32" s="23"/>
      <c r="F32" s="23"/>
      <c r="G32" s="23"/>
      <c r="H32" s="23"/>
      <c r="I32" s="23" t="s">
        <v>111</v>
      </c>
      <c r="J32" s="23"/>
      <c r="K32" s="2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3"/>
      <c r="B33" s="3"/>
      <c r="C33" s="23"/>
      <c r="D33" s="23"/>
      <c r="E33" s="24"/>
      <c r="F33" s="23"/>
      <c r="G33" s="23"/>
      <c r="H33" s="23"/>
      <c r="I33" s="23"/>
      <c r="J33" s="23"/>
      <c r="K33" s="2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3"/>
      <c r="B34" s="3"/>
      <c r="C34" s="23"/>
      <c r="D34" s="23"/>
      <c r="E34" s="23" t="s">
        <v>112</v>
      </c>
      <c r="F34" s="23"/>
      <c r="G34" s="23"/>
      <c r="H34" s="23"/>
      <c r="I34" s="23"/>
      <c r="J34" s="23"/>
      <c r="K34" s="2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3"/>
      <c r="B35" s="3"/>
      <c r="C35" s="23" t="s">
        <v>113</v>
      </c>
      <c r="D35" s="23"/>
      <c r="E35" s="23"/>
      <c r="F35" s="23"/>
      <c r="G35" s="23"/>
      <c r="H35" s="23"/>
      <c r="I35" s="23"/>
      <c r="J35" s="23"/>
      <c r="K35" s="2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3"/>
      <c r="B36" s="3"/>
      <c r="C36" s="23"/>
      <c r="D36" s="23"/>
      <c r="E36" s="23"/>
      <c r="F36" s="23"/>
      <c r="G36" s="23"/>
      <c r="H36" s="23"/>
      <c r="I36" s="23"/>
      <c r="J36" s="23"/>
      <c r="K36" s="2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3"/>
      <c r="B37" s="3"/>
      <c r="C37" s="23"/>
      <c r="D37" s="23"/>
      <c r="E37" s="23"/>
      <c r="F37" s="23"/>
      <c r="G37" s="23"/>
      <c r="H37" s="23"/>
      <c r="I37" s="23"/>
      <c r="J37" s="23"/>
      <c r="K37" s="2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7">
    <mergeCell ref="A21:L21"/>
    <mergeCell ref="B1:L2"/>
    <mergeCell ref="A3:L3"/>
    <mergeCell ref="A5:L5"/>
    <mergeCell ref="A10:L10"/>
    <mergeCell ref="A16:B16"/>
    <mergeCell ref="A17:L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2017 </vt:lpstr>
      <vt:lpstr>2016</vt:lpstr>
      <vt:lpstr>2015</vt:lpstr>
      <vt:lpstr>'2016'!Print_Area</vt:lpstr>
      <vt:lpstr>'2017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Bayantal</dc:creator>
  <cp:lastModifiedBy>Батсүх</cp:lastModifiedBy>
  <cp:lastPrinted>2018-06-18T12:46:52Z</cp:lastPrinted>
  <dcterms:created xsi:type="dcterms:W3CDTF">2017-09-30T09:26:04Z</dcterms:created>
  <dcterms:modified xsi:type="dcterms:W3CDTF">2018-06-18T12:55:13Z</dcterms:modified>
</cp:coreProperties>
</file>